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240" windowHeight="5970" activeTab="0"/>
  </bookViews>
  <sheets>
    <sheet name="trash +ardh 2011+shtesa me ndry" sheetId="1" r:id="rId1"/>
    <sheet name="trash +ardh 2011+shtesa2" sheetId="2" r:id="rId2"/>
    <sheet name="Analiza 2010 TAB 3" sheetId="3" r:id="rId3"/>
    <sheet name="shtese PB 2011 (2)" sheetId="4" r:id="rId4"/>
    <sheet name="trash +ardh 2011" sheetId="5" r:id="rId5"/>
    <sheet name="Tabela Trash" sheetId="6" r:id="rId6"/>
    <sheet name="Tabela T 2011 tab 2.1" sheetId="7" r:id="rId7"/>
    <sheet name="Tabela T 2011 piu tab 2.1" sheetId="8" r:id="rId8"/>
    <sheet name="tab 4" sheetId="9" r:id="rId9"/>
    <sheet name="Tabela T pa tab 5" sheetId="10" r:id="rId10"/>
    <sheet name="Analiza 2010" sheetId="11" r:id="rId11"/>
    <sheet name="Tabela Trash (2)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<sst xmlns="http://schemas.openxmlformats.org/spreadsheetml/2006/main" count="994" uniqueCount="172">
  <si>
    <t>Nr.</t>
  </si>
  <si>
    <t>Emertimi i institucionit</t>
  </si>
  <si>
    <t>Cerdhe</t>
  </si>
  <si>
    <t>Arsimi 9 vj</t>
  </si>
  <si>
    <t>Arsim i mesem</t>
  </si>
  <si>
    <t>Arsim profesional</t>
  </si>
  <si>
    <t>Klubi shumesportesh</t>
  </si>
  <si>
    <t>Klubi i futbollit</t>
  </si>
  <si>
    <t>Qendra ek e kultures</t>
  </si>
  <si>
    <t>Teatri</t>
  </si>
  <si>
    <t>Biblioteka</t>
  </si>
  <si>
    <t>PIU</t>
  </si>
  <si>
    <t>NSHP</t>
  </si>
  <si>
    <t>000/leke</t>
  </si>
  <si>
    <t>Qendra ek e kultures sp</t>
  </si>
  <si>
    <t>Klubi shumesportesh sp</t>
  </si>
  <si>
    <t>NSHP sp</t>
  </si>
  <si>
    <t>Keshilltaret</t>
  </si>
  <si>
    <t>Sherbimi urban</t>
  </si>
  <si>
    <t>Pastrimi i qytetit</t>
  </si>
  <si>
    <t>Sherbimi  funeral</t>
  </si>
  <si>
    <t>Fondi rezerve</t>
  </si>
  <si>
    <t>Fondi i kontigjences</t>
  </si>
  <si>
    <t>Fondi i emergj civile</t>
  </si>
  <si>
    <t>Kontributi i qarkut</t>
  </si>
  <si>
    <t>Gr konk+emergj civile</t>
  </si>
  <si>
    <t>Bashkia sp</t>
  </si>
  <si>
    <t>Totali</t>
  </si>
  <si>
    <t>Bashkia 01110</t>
  </si>
  <si>
    <t>Bashkia 04530</t>
  </si>
  <si>
    <t>Bashkia 06260</t>
  </si>
  <si>
    <t>DREJTORE E FINANCES</t>
  </si>
  <si>
    <t>KRYETARI I BASHKISE</t>
  </si>
  <si>
    <t>Valbona Ziko</t>
  </si>
  <si>
    <t>NIKO PELESHI</t>
  </si>
  <si>
    <t>Pl vj 2010</t>
  </si>
  <si>
    <t>Arsimi profesional</t>
  </si>
  <si>
    <t>Qendra ditore</t>
  </si>
  <si>
    <t>Qendra rezidenciale</t>
  </si>
  <si>
    <t>Bashkia 09120 sp</t>
  </si>
  <si>
    <t>TE ARDHURA</t>
  </si>
  <si>
    <t>SHPENZIME</t>
  </si>
  <si>
    <t>Burimi</t>
  </si>
  <si>
    <t>Gjithsej</t>
  </si>
  <si>
    <t xml:space="preserve">Struktura </t>
  </si>
  <si>
    <t>Emertimi</t>
  </si>
  <si>
    <t>buxhetore</t>
  </si>
  <si>
    <t>00.01110.05</t>
  </si>
  <si>
    <t>Bashkia</t>
  </si>
  <si>
    <t>00.04530.05</t>
  </si>
  <si>
    <t>Bashkia (gr konk)</t>
  </si>
  <si>
    <t>00.09120.05</t>
  </si>
  <si>
    <t>00.06260.05</t>
  </si>
  <si>
    <t>Bashkia Spons</t>
  </si>
  <si>
    <t>Te ardhura institucione</t>
  </si>
  <si>
    <t>Keshilltare</t>
  </si>
  <si>
    <t>Te ardhura vendore viti 2010</t>
  </si>
  <si>
    <t>Cerdhja</t>
  </si>
  <si>
    <t>Trans e pakushtezuar (A+B)</t>
  </si>
  <si>
    <t>Arsimi 9 vjecar</t>
  </si>
  <si>
    <t>00.09120.06</t>
  </si>
  <si>
    <t>Arsimi 9 vjecar sp</t>
  </si>
  <si>
    <t>00.09230.05</t>
  </si>
  <si>
    <t>Arsimi i mesem</t>
  </si>
  <si>
    <t>00.09240.05</t>
  </si>
  <si>
    <t>00.08140.05</t>
  </si>
  <si>
    <t>Shumsportshi</t>
  </si>
  <si>
    <t>00.08140.06</t>
  </si>
  <si>
    <t>Shumsportshi sp</t>
  </si>
  <si>
    <t xml:space="preserve"> </t>
  </si>
  <si>
    <t>Futbolli</t>
  </si>
  <si>
    <t>00.08250.05</t>
  </si>
  <si>
    <t>Qendra e kultures</t>
  </si>
  <si>
    <t>00.08250.06</t>
  </si>
  <si>
    <t>Qendra e kultures sp</t>
  </si>
  <si>
    <t>Bibilioteka</t>
  </si>
  <si>
    <t>N.Sherbim Publik</t>
  </si>
  <si>
    <t>00.06260.06</t>
  </si>
  <si>
    <t>N.Sherbim Publik sp</t>
  </si>
  <si>
    <t>00.04570.05</t>
  </si>
  <si>
    <t>Shërbimi urban</t>
  </si>
  <si>
    <t>Pastrim Qyteti</t>
  </si>
  <si>
    <t>Sherbimi funeral</t>
  </si>
  <si>
    <t>00.04980.05</t>
  </si>
  <si>
    <t>Fondi  rezervë</t>
  </si>
  <si>
    <t>Emergjenca Civile</t>
  </si>
  <si>
    <t>Kontributi i Qarkut</t>
  </si>
  <si>
    <t>00.10140.05</t>
  </si>
  <si>
    <t>Qendra Rez Zhvill</t>
  </si>
  <si>
    <t>Totali te ardhura</t>
  </si>
  <si>
    <t>Totali Shpenzime</t>
  </si>
  <si>
    <t xml:space="preserve">Bashkia </t>
  </si>
  <si>
    <t>Bashkia e civile</t>
  </si>
  <si>
    <t>Kredia</t>
  </si>
  <si>
    <t>Bashkia pullat e gj civile</t>
  </si>
  <si>
    <t>Pl 2011</t>
  </si>
  <si>
    <t xml:space="preserve">Pl 2011 </t>
  </si>
  <si>
    <t>BUXHETI 2011</t>
  </si>
  <si>
    <t>Te ardhura vendore viti 2011</t>
  </si>
  <si>
    <t>Teatri sp</t>
  </si>
  <si>
    <t>Bashkia (principali)</t>
  </si>
  <si>
    <t xml:space="preserve">Bashkia sponsorizim </t>
  </si>
  <si>
    <t>Bashkia (Principali) 166</t>
  </si>
  <si>
    <t>Bashkia (principali) 166</t>
  </si>
  <si>
    <t>Teatri spons</t>
  </si>
  <si>
    <t>Bashkia 09120</t>
  </si>
  <si>
    <t>Dif P11-P10</t>
  </si>
  <si>
    <t>Fakt 12m</t>
  </si>
  <si>
    <t>F 12 m</t>
  </si>
  <si>
    <t>Dif P11-F12</t>
  </si>
  <si>
    <t>F 12m</t>
  </si>
  <si>
    <t>DifP11-P10</t>
  </si>
  <si>
    <t>Dif p11-P10</t>
  </si>
  <si>
    <t>tabela nr. 2</t>
  </si>
  <si>
    <t>tabela nr. 5</t>
  </si>
  <si>
    <t>REALIZIMI I BUXHETIT 2010</t>
  </si>
  <si>
    <t>TABELA NR.4</t>
  </si>
  <si>
    <t>REALIZIMI I DETYRIMEVE  TE VITIT 2009</t>
  </si>
  <si>
    <t>Te ardhura te trasheguara nga te ardhura te paperdorura</t>
  </si>
  <si>
    <t>00.10140.06</t>
  </si>
  <si>
    <t>Shtepia e foshnjes</t>
  </si>
  <si>
    <t>Valbona ZIKO</t>
  </si>
  <si>
    <t xml:space="preserve">            NIKO PELESHI</t>
  </si>
  <si>
    <t>BUXHETI I BASHKISE KORCE DHE INSTITUCIONEVE TE VARESISE PER VITIN 2011</t>
  </si>
  <si>
    <t>Mbetur nga te ardhurat</t>
  </si>
  <si>
    <t>Mbetur nga shpenzimet</t>
  </si>
  <si>
    <t>Mbetur nga shpenzimet sp</t>
  </si>
  <si>
    <t>Mbetur nga te ardhurat sp</t>
  </si>
  <si>
    <t>00.01110.06</t>
  </si>
  <si>
    <t>Futbolli sp</t>
  </si>
  <si>
    <t>Qendra ditore sp</t>
  </si>
  <si>
    <t>SHPERNDARJA E TE ARDHURAVE TE TRASHEGUARA NGA VITI 2010 NE 2011</t>
  </si>
  <si>
    <t>000/LEKE</t>
  </si>
  <si>
    <t>Te ardhurat e Bashkise 2011</t>
  </si>
  <si>
    <t>Te ardhurat e Institucioneve 2011</t>
  </si>
  <si>
    <t>Trasferta e pakushtezuar</t>
  </si>
  <si>
    <t>Te ardhurat e trasheguara 2010</t>
  </si>
  <si>
    <t>00.01710.05</t>
  </si>
  <si>
    <t>Fondi I kontigjences</t>
  </si>
  <si>
    <t>Kontributi I qarkut</t>
  </si>
  <si>
    <t>Kontributi per Universitetin</t>
  </si>
  <si>
    <t>tabela nr. 2/1</t>
  </si>
  <si>
    <t>tabela nr. 2/2</t>
  </si>
  <si>
    <t>Bashkia (principali)166</t>
  </si>
  <si>
    <t>Te ardhura nga  sp</t>
  </si>
  <si>
    <t>Te ardhurat e Bashkise</t>
  </si>
  <si>
    <t>Te ardhura  nga shpenzimet</t>
  </si>
  <si>
    <t>Sponzorizim</t>
  </si>
  <si>
    <t>Te ardhura te trash nga shpenzimet</t>
  </si>
  <si>
    <t>Kontrbuti per Universitetin</t>
  </si>
  <si>
    <t>Kontributi per universitetin</t>
  </si>
  <si>
    <t>Buxheti 2011 (të ardhurat e trashëguara të vitit 2010 + të ardhurat e vitit 2011)</t>
  </si>
  <si>
    <t>Kryetari I Bashkisë</t>
  </si>
  <si>
    <t xml:space="preserve">Shtese e Projekt Buxhetit 2011 </t>
  </si>
  <si>
    <t>Shpenzimet</t>
  </si>
  <si>
    <t>Viti 2007</t>
  </si>
  <si>
    <t>Viti 2008</t>
  </si>
  <si>
    <t>Viti 2009</t>
  </si>
  <si>
    <t>Viti 2010</t>
  </si>
  <si>
    <t>Viti 2011</t>
  </si>
  <si>
    <t>Administrim I pergjithshem</t>
  </si>
  <si>
    <t>Sherbimet Publike</t>
  </si>
  <si>
    <t>Arsimi parauniversitar</t>
  </si>
  <si>
    <t>Kulture dhe sport</t>
  </si>
  <si>
    <t>Transporti urban</t>
  </si>
  <si>
    <t>Paga dhe sigurime shoqerore</t>
  </si>
  <si>
    <t>Shpenzime operative</t>
  </si>
  <si>
    <t>Shpenzime te tjera</t>
  </si>
  <si>
    <t>Investime</t>
  </si>
  <si>
    <t>Det 2010</t>
  </si>
  <si>
    <t>Shtepia e foshnjes 06</t>
  </si>
  <si>
    <t>Tabela nr.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</si>
</sst>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 Unicode MS"/>
      <family val="2"/>
    </font>
    <font>
      <sz val="11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3" fontId="9" fillId="0" borderId="15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3" fontId="8" fillId="34" borderId="21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6" xfId="0" applyFont="1" applyBorder="1" applyAlignment="1">
      <alignment wrapText="1"/>
    </xf>
    <xf numFmtId="3" fontId="9" fillId="0" borderId="27" xfId="0" applyNumberFormat="1" applyFont="1" applyBorder="1" applyAlignment="1">
      <alignment/>
    </xf>
    <xf numFmtId="3" fontId="9" fillId="33" borderId="27" xfId="0" applyNumberFormat="1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3" fontId="10" fillId="33" borderId="16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3" fontId="10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61" fillId="0" borderId="29" xfId="0" applyFont="1" applyBorder="1" applyAlignment="1">
      <alignment/>
    </xf>
    <xf numFmtId="3" fontId="61" fillId="33" borderId="16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61" fillId="33" borderId="36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3" fontId="0" fillId="0" borderId="0" xfId="0" applyNumberFormat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8" fillId="0" borderId="33" xfId="0" applyFont="1" applyBorder="1" applyAlignment="1">
      <alignment wrapText="1"/>
    </xf>
    <xf numFmtId="3" fontId="9" fillId="0" borderId="34" xfId="0" applyNumberFormat="1" applyFont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3" fontId="9" fillId="33" borderId="3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5" fillId="33" borderId="15" xfId="0" applyNumberFormat="1" applyFont="1" applyFill="1" applyBorder="1" applyAlignment="1" quotePrefix="1">
      <alignment/>
    </xf>
    <xf numFmtId="3" fontId="6" fillId="33" borderId="30" xfId="0" applyNumberFormat="1" applyFont="1" applyFill="1" applyBorder="1" applyAlignment="1">
      <alignment/>
    </xf>
    <xf numFmtId="0" fontId="62" fillId="0" borderId="28" xfId="0" applyFont="1" applyBorder="1" applyAlignment="1">
      <alignment/>
    </xf>
    <xf numFmtId="3" fontId="61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61" fillId="33" borderId="15" xfId="0" applyNumberFormat="1" applyFont="1" applyFill="1" applyBorder="1" applyAlignment="1">
      <alignment/>
    </xf>
    <xf numFmtId="3" fontId="61" fillId="33" borderId="27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33" borderId="27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4" fontId="10" fillId="0" borderId="24" xfId="0" applyNumberFormat="1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9" fillId="0" borderId="43" xfId="0" applyFont="1" applyBorder="1" applyAlignment="1">
      <alignment/>
    </xf>
    <xf numFmtId="4" fontId="9" fillId="0" borderId="40" xfId="0" applyNumberFormat="1" applyFont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3" fontId="9" fillId="0" borderId="40" xfId="0" applyNumberFormat="1" applyFont="1" applyBorder="1" applyAlignment="1">
      <alignment/>
    </xf>
    <xf numFmtId="3" fontId="9" fillId="33" borderId="40" xfId="0" applyNumberFormat="1" applyFont="1" applyFill="1" applyBorder="1" applyAlignment="1">
      <alignment/>
    </xf>
    <xf numFmtId="0" fontId="8" fillId="0" borderId="14" xfId="0" applyFont="1" applyBorder="1" applyAlignment="1">
      <alignment horizontal="left" wrapText="1"/>
    </xf>
    <xf numFmtId="0" fontId="9" fillId="0" borderId="39" xfId="0" applyFont="1" applyBorder="1" applyAlignment="1">
      <alignment/>
    </xf>
    <xf numFmtId="0" fontId="8" fillId="0" borderId="50" xfId="0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5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53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5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 horizontal="center"/>
    </xf>
    <xf numFmtId="0" fontId="8" fillId="0" borderId="57" xfId="0" applyFont="1" applyBorder="1" applyAlignment="1">
      <alignment wrapText="1"/>
    </xf>
    <xf numFmtId="4" fontId="9" fillId="0" borderId="58" xfId="0" applyNumberFormat="1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8" xfId="0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8" fillId="34" borderId="36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0" xfId="0" applyFont="1" applyBorder="1" applyAlignment="1">
      <alignment wrapText="1"/>
    </xf>
    <xf numFmtId="4" fontId="9" fillId="0" borderId="61" xfId="0" applyNumberFormat="1" applyFont="1" applyBorder="1" applyAlignment="1">
      <alignment/>
    </xf>
    <xf numFmtId="0" fontId="9" fillId="0" borderId="61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4" fontId="9" fillId="0" borderId="61" xfId="0" applyNumberFormat="1" applyFont="1" applyBorder="1" applyAlignment="1">
      <alignment horizontal="right"/>
    </xf>
    <xf numFmtId="0" fontId="8" fillId="0" borderId="60" xfId="0" applyFont="1" applyFill="1" applyBorder="1" applyAlignment="1">
      <alignment wrapText="1"/>
    </xf>
    <xf numFmtId="4" fontId="9" fillId="33" borderId="14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left" wrapText="1"/>
    </xf>
    <xf numFmtId="0" fontId="9" fillId="0" borderId="61" xfId="0" applyFont="1" applyBorder="1" applyAlignment="1">
      <alignment/>
    </xf>
    <xf numFmtId="0" fontId="9" fillId="0" borderId="61" xfId="0" applyFont="1" applyBorder="1" applyAlignment="1">
      <alignment horizontal="left"/>
    </xf>
    <xf numFmtId="0" fontId="8" fillId="0" borderId="60" xfId="0" applyFont="1" applyFill="1" applyBorder="1" applyAlignment="1">
      <alignment/>
    </xf>
    <xf numFmtId="0" fontId="9" fillId="0" borderId="60" xfId="0" applyFont="1" applyBorder="1" applyAlignment="1">
      <alignment/>
    </xf>
    <xf numFmtId="0" fontId="9" fillId="0" borderId="62" xfId="0" applyFont="1" applyBorder="1" applyAlignment="1">
      <alignment/>
    </xf>
    <xf numFmtId="4" fontId="9" fillId="0" borderId="63" xfId="0" applyNumberFormat="1" applyFont="1" applyBorder="1" applyAlignment="1">
      <alignment/>
    </xf>
    <xf numFmtId="0" fontId="9" fillId="0" borderId="63" xfId="0" applyFont="1" applyBorder="1" applyAlignment="1">
      <alignment/>
    </xf>
    <xf numFmtId="4" fontId="9" fillId="0" borderId="43" xfId="0" applyNumberFormat="1" applyFont="1" applyBorder="1" applyAlignment="1">
      <alignment/>
    </xf>
    <xf numFmtId="0" fontId="8" fillId="0" borderId="54" xfId="0" applyFont="1" applyBorder="1" applyAlignment="1">
      <alignment/>
    </xf>
    <xf numFmtId="4" fontId="8" fillId="34" borderId="2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0" fontId="4" fillId="0" borderId="53" xfId="0" applyFont="1" applyBorder="1" applyAlignment="1">
      <alignment/>
    </xf>
    <xf numFmtId="3" fontId="4" fillId="0" borderId="55" xfId="0" applyNumberFormat="1" applyFont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0" fontId="8" fillId="0" borderId="52" xfId="0" applyFont="1" applyBorder="1" applyAlignment="1">
      <alignment horizontal="center"/>
    </xf>
    <xf numFmtId="0" fontId="62" fillId="0" borderId="31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61" fillId="33" borderId="40" xfId="0" applyNumberFormat="1" applyFont="1" applyFill="1" applyBorder="1" applyAlignment="1">
      <alignment/>
    </xf>
    <xf numFmtId="3" fontId="61" fillId="33" borderId="64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8" fillId="0" borderId="65" xfId="0" applyFont="1" applyBorder="1" applyAlignment="1">
      <alignment/>
    </xf>
    <xf numFmtId="3" fontId="8" fillId="34" borderId="66" xfId="0" applyNumberFormat="1" applyFont="1" applyFill="1" applyBorder="1" applyAlignment="1">
      <alignment/>
    </xf>
    <xf numFmtId="0" fontId="9" fillId="0" borderId="67" xfId="0" applyFont="1" applyBorder="1" applyAlignment="1">
      <alignment/>
    </xf>
    <xf numFmtId="0" fontId="8" fillId="0" borderId="55" xfId="0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4" fontId="8" fillId="34" borderId="66" xfId="0" applyNumberFormat="1" applyFont="1" applyFill="1" applyBorder="1" applyAlignment="1">
      <alignment/>
    </xf>
    <xf numFmtId="4" fontId="10" fillId="0" borderId="56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33" borderId="19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9" xfId="0" applyFont="1" applyBorder="1" applyAlignment="1">
      <alignment/>
    </xf>
    <xf numFmtId="0" fontId="15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8" fillId="0" borderId="69" xfId="0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68" fillId="0" borderId="15" xfId="0" applyFont="1" applyBorder="1" applyAlignment="1">
      <alignment/>
    </xf>
    <xf numFmtId="0" fontId="69" fillId="0" borderId="15" xfId="0" applyFont="1" applyBorder="1" applyAlignment="1">
      <alignment/>
    </xf>
    <xf numFmtId="4" fontId="69" fillId="0" borderId="15" xfId="0" applyNumberFormat="1" applyFont="1" applyBorder="1" applyAlignment="1">
      <alignment horizontal="right"/>
    </xf>
    <xf numFmtId="0" fontId="69" fillId="0" borderId="15" xfId="0" applyFont="1" applyBorder="1" applyAlignment="1">
      <alignment horizontal="right"/>
    </xf>
    <xf numFmtId="4" fontId="69" fillId="35" borderId="15" xfId="0" applyNumberFormat="1" applyFont="1" applyFill="1" applyBorder="1" applyAlignment="1">
      <alignment horizontal="right"/>
    </xf>
    <xf numFmtId="9" fontId="69" fillId="0" borderId="15" xfId="0" applyNumberFormat="1" applyFont="1" applyBorder="1" applyAlignment="1">
      <alignment horizontal="right"/>
    </xf>
    <xf numFmtId="4" fontId="68" fillId="0" borderId="15" xfId="0" applyNumberFormat="1" applyFont="1" applyBorder="1" applyAlignment="1">
      <alignment horizontal="right"/>
    </xf>
    <xf numFmtId="0" fontId="68" fillId="0" borderId="15" xfId="0" applyFont="1" applyBorder="1" applyAlignment="1">
      <alignment horizontal="right"/>
    </xf>
    <xf numFmtId="4" fontId="68" fillId="35" borderId="15" xfId="0" applyNumberFormat="1" applyFont="1" applyFill="1" applyBorder="1" applyAlignment="1">
      <alignment horizontal="right"/>
    </xf>
    <xf numFmtId="9" fontId="68" fillId="0" borderId="15" xfId="0" applyNumberFormat="1" applyFont="1" applyBorder="1" applyAlignment="1">
      <alignment horizontal="right"/>
    </xf>
    <xf numFmtId="0" fontId="68" fillId="35" borderId="15" xfId="0" applyFont="1" applyFill="1" applyBorder="1" applyAlignment="1">
      <alignment/>
    </xf>
    <xf numFmtId="0" fontId="61" fillId="0" borderId="44" xfId="0" applyFont="1" applyBorder="1" applyAlignment="1">
      <alignment/>
    </xf>
    <xf numFmtId="0" fontId="0" fillId="0" borderId="64" xfId="0" applyBorder="1" applyAlignment="1">
      <alignment/>
    </xf>
    <xf numFmtId="3" fontId="5" fillId="0" borderId="44" xfId="0" applyNumberFormat="1" applyFont="1" applyBorder="1" applyAlignment="1">
      <alignment/>
    </xf>
    <xf numFmtId="0" fontId="5" fillId="33" borderId="70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6" fillId="33" borderId="60" xfId="0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5" fillId="33" borderId="62" xfId="0" applyFont="1" applyFill="1" applyBorder="1" applyAlignment="1">
      <alignment/>
    </xf>
    <xf numFmtId="0" fontId="4" fillId="0" borderId="54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3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Administrim I pergjithshem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Sheet1!$C$3:$L$3</c:f>
              <c:numCache/>
            </c:numRef>
          </c:val>
          <c:shape val="cylinder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Sherbimet Publike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Sheet1!$C$4:$L$4</c:f>
              <c:numCache/>
            </c:numRef>
          </c:val>
          <c:shape val="cylinder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Arsimi parauniversitar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Sheet1!$C$5:$L$5</c:f>
              <c:numCache/>
            </c:numRef>
          </c:val>
          <c:shape val="cylinder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Kulture dhe sport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Sheet1!$C$6:$L$6</c:f>
              <c:numCache/>
            </c:numRef>
          </c:val>
          <c:shape val="cylinder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Transporti urban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Sheet1!$C$7:$L$7</c:f>
              <c:numCache/>
            </c:numRef>
          </c:val>
          <c:shape val="cylinder"/>
        </c:ser>
        <c:shape val="cylinder"/>
        <c:axId val="8656972"/>
        <c:axId val="10803885"/>
      </c:bar3D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"/>
          <c:y val="0.13625"/>
          <c:w val="0.3035"/>
          <c:h val="0.71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49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Paga dhe sigurime shoqerore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Sheet2!$C$2:$L$2</c:f>
              <c:strCache/>
            </c:strRef>
          </c:cat>
          <c:val>
            <c:numRef>
              <c:f>Sheet2!$C$3:$L$3</c:f>
              <c:numCache/>
            </c:numRef>
          </c:val>
          <c:shape val="cylinder"/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Shpenzime operative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Sheet2!$C$2:$L$2</c:f>
              <c:strCache/>
            </c:strRef>
          </c:cat>
          <c:val>
            <c:numRef>
              <c:f>Sheet2!$C$4:$L$4</c:f>
              <c:numCache/>
            </c:numRef>
          </c:val>
          <c:shape val="cylinder"/>
        </c:ser>
        <c:ser>
          <c:idx val="2"/>
          <c:order val="2"/>
          <c:tx>
            <c:strRef>
              <c:f>Sheet2!$B$5</c:f>
              <c:strCache>
                <c:ptCount val="1"/>
                <c:pt idx="0">
                  <c:v>Shpenzime te tjera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Sheet2!$C$2:$L$2</c:f>
              <c:strCache/>
            </c:strRef>
          </c:cat>
          <c:val>
            <c:numRef>
              <c:f>Sheet2!$C$5:$L$5</c:f>
              <c:numCache/>
            </c:numRef>
          </c:val>
          <c:shape val="cylinder"/>
        </c:ser>
        <c:ser>
          <c:idx val="3"/>
          <c:order val="3"/>
          <c:tx>
            <c:strRef>
              <c:f>Sheet2!$B$6</c:f>
              <c:strCache>
                <c:ptCount val="1"/>
                <c:pt idx="0">
                  <c:v>Investime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Sheet2!$C$2:$L$2</c:f>
              <c:strCache/>
            </c:strRef>
          </c:cat>
          <c:val>
            <c:numRef>
              <c:f>Sheet2!$C$6:$L$6</c:f>
              <c:numCache/>
            </c:numRef>
          </c:val>
          <c:shape val="cylinder"/>
        </c:ser>
        <c:shape val="cylinder"/>
        <c:axId val="30126102"/>
        <c:axId val="2699463"/>
      </c:bar3D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208"/>
          <c:w val="0.28875"/>
          <c:h val="0.5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9</xdr:row>
      <xdr:rowOff>152400</xdr:rowOff>
    </xdr:from>
    <xdr:to>
      <xdr:col>14</xdr:col>
      <xdr:colOff>466725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733800" y="1866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9</xdr:row>
      <xdr:rowOff>104775</xdr:rowOff>
    </xdr:from>
    <xdr:to>
      <xdr:col>14</xdr:col>
      <xdr:colOff>495300</xdr:colOff>
      <xdr:row>23</xdr:row>
      <xdr:rowOff>180975</xdr:rowOff>
    </xdr:to>
    <xdr:graphicFrame>
      <xdr:nvGraphicFramePr>
        <xdr:cNvPr id="1" name="Chart 2"/>
        <xdr:cNvGraphicFramePr/>
      </xdr:nvGraphicFramePr>
      <xdr:xfrm>
        <a:off x="3695700" y="1819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penzimet%20operative%20analiza%2010%20m%20+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penzimet%20operative%20inst%20e%20varesise%20buxh%202011%20anal%2010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%202011%20analiza%2010m%20NSHP.xls2.xl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2011"/>
      <sheetName val="Sheet2"/>
      <sheetName val="Pl tel"/>
      <sheetName val="pl ujit"/>
      <sheetName val="energji"/>
    </sheetNames>
    <sheetDataSet>
      <sheetData sheetId="0">
        <row r="60">
          <cell r="D60">
            <v>37093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EK (2)"/>
      <sheetName val="SHUMSPORT"/>
    </sheetNames>
    <sheetDataSet>
      <sheetData sheetId="1">
        <row r="27">
          <cell r="E27">
            <v>12382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p op NSHPpl 11 12m  (2)"/>
      <sheetName val="Shp op NSHPpl 11 11m "/>
      <sheetName val="Shp op NSHPpl 11 10m"/>
      <sheetName val="te ardh"/>
      <sheetName val="investimet"/>
    </sheetNames>
    <sheetDataSet>
      <sheetData sheetId="0">
        <row r="53">
          <cell r="D53">
            <v>42698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9"/>
  <sheetViews>
    <sheetView tabSelected="1" zoomScalePageLayoutView="0" workbookViewId="0" topLeftCell="F1">
      <selection activeCell="N38" sqref="N38"/>
    </sheetView>
  </sheetViews>
  <sheetFormatPr defaultColWidth="9.140625" defaultRowHeight="15"/>
  <cols>
    <col min="1" max="1" width="24.8515625" style="0" customWidth="1"/>
    <col min="2" max="2" width="11.57421875" style="0" customWidth="1"/>
    <col min="4" max="4" width="14.8515625" style="0" customWidth="1"/>
    <col min="5" max="5" width="12.8515625" style="0" customWidth="1"/>
    <col min="6" max="6" width="11.28125" style="0" customWidth="1"/>
    <col min="7" max="7" width="13.140625" style="0" customWidth="1"/>
    <col min="8" max="8" width="12.28125" style="0" customWidth="1"/>
    <col min="9" max="9" width="13.28125" style="0" customWidth="1"/>
    <col min="10" max="10" width="10.7109375" style="0" customWidth="1"/>
    <col min="11" max="11" width="10.57421875" style="0" customWidth="1"/>
    <col min="12" max="12" width="10.421875" style="0" customWidth="1"/>
    <col min="13" max="14" width="12.421875" style="0" customWidth="1"/>
    <col min="15" max="15" width="11.00390625" style="0" customWidth="1"/>
    <col min="16" max="16" width="12.7109375" style="0" customWidth="1"/>
  </cols>
  <sheetData>
    <row r="1" spans="1:16" ht="15.75" thickBot="1">
      <c r="A1" s="132" t="s">
        <v>113</v>
      </c>
      <c r="B1" s="133"/>
      <c r="C1" s="132" t="s">
        <v>151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258" t="s">
        <v>40</v>
      </c>
      <c r="B2" s="256"/>
      <c r="C2" s="254" t="s">
        <v>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6"/>
    </row>
    <row r="3" spans="1:16" ht="15.75" thickBot="1">
      <c r="A3" s="259" t="s">
        <v>42</v>
      </c>
      <c r="B3" s="260" t="s">
        <v>43</v>
      </c>
      <c r="C3" s="213" t="s">
        <v>44</v>
      </c>
      <c r="D3" s="213" t="s">
        <v>45</v>
      </c>
      <c r="E3" s="261"/>
      <c r="F3" s="261"/>
      <c r="G3" s="261"/>
      <c r="H3" s="214"/>
      <c r="I3" s="262"/>
      <c r="J3" s="262"/>
      <c r="K3" s="262"/>
      <c r="L3" s="262"/>
      <c r="M3" s="262"/>
      <c r="N3" s="262"/>
      <c r="O3" s="262"/>
      <c r="P3" s="263"/>
    </row>
    <row r="4" spans="1:16" ht="15">
      <c r="A4" s="259"/>
      <c r="B4" s="260"/>
      <c r="C4" s="216" t="s">
        <v>46</v>
      </c>
      <c r="D4" s="215"/>
      <c r="E4" s="258">
        <v>6000000</v>
      </c>
      <c r="F4" s="254">
        <v>6010000</v>
      </c>
      <c r="G4" s="254">
        <v>6020000</v>
      </c>
      <c r="H4" s="254">
        <v>6030000</v>
      </c>
      <c r="I4" s="254">
        <v>6040000</v>
      </c>
      <c r="J4" s="254">
        <v>6060000</v>
      </c>
      <c r="K4" s="254">
        <v>6090000</v>
      </c>
      <c r="L4" s="254">
        <v>2300000</v>
      </c>
      <c r="M4" s="254">
        <v>2310000</v>
      </c>
      <c r="N4" s="189"/>
      <c r="O4" s="189"/>
      <c r="P4" s="256" t="s">
        <v>27</v>
      </c>
    </row>
    <row r="5" spans="1:16" ht="15.75" thickBot="1">
      <c r="A5" s="23"/>
      <c r="B5" s="218"/>
      <c r="C5" s="217"/>
      <c r="D5" s="137"/>
      <c r="E5" s="264"/>
      <c r="F5" s="255"/>
      <c r="G5" s="255"/>
      <c r="H5" s="255"/>
      <c r="I5" s="255"/>
      <c r="J5" s="255"/>
      <c r="K5" s="255"/>
      <c r="L5" s="255"/>
      <c r="M5" s="255"/>
      <c r="N5" s="138">
        <v>6511300</v>
      </c>
      <c r="O5" s="138">
        <v>1661300</v>
      </c>
      <c r="P5" s="257"/>
    </row>
    <row r="6" spans="1:16" ht="15.75" thickBot="1">
      <c r="A6" s="39"/>
      <c r="B6" s="40"/>
      <c r="C6" s="52" t="s">
        <v>47</v>
      </c>
      <c r="D6" s="53" t="s">
        <v>48</v>
      </c>
      <c r="E6" s="118">
        <v>78881927</v>
      </c>
      <c r="F6" s="118">
        <v>12589830</v>
      </c>
      <c r="G6" s="118">
        <f>52112000+2551741+117000-3801000+1090000</f>
        <v>52069741</v>
      </c>
      <c r="H6" s="118"/>
      <c r="I6" s="118">
        <f>13034000+2238000-2874500-400000-1470000-1090000</f>
        <v>9437500</v>
      </c>
      <c r="J6" s="118">
        <f>660000+20000</f>
        <v>680000</v>
      </c>
      <c r="K6" s="118"/>
      <c r="L6" s="118">
        <v>5300000</v>
      </c>
      <c r="M6" s="118">
        <f>2170000+821200</f>
        <v>2991200</v>
      </c>
      <c r="N6" s="118">
        <v>5300000</v>
      </c>
      <c r="O6" s="118"/>
      <c r="P6" s="119">
        <f>SUM(E6:O6)</f>
        <v>167250198</v>
      </c>
    </row>
    <row r="7" spans="1:16" ht="15.75" thickBot="1">
      <c r="A7" s="43"/>
      <c r="B7" s="25"/>
      <c r="C7" s="27" t="s">
        <v>137</v>
      </c>
      <c r="D7" s="54" t="s">
        <v>48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>
        <v>4200000</v>
      </c>
      <c r="P7" s="119">
        <f aca="true" t="shared" si="0" ref="P7:P41">SUM(E7:O7)</f>
        <v>4200000</v>
      </c>
    </row>
    <row r="8" spans="1:16" ht="15.75" thickBot="1">
      <c r="A8" s="43"/>
      <c r="B8" s="25"/>
      <c r="C8" s="27" t="s">
        <v>128</v>
      </c>
      <c r="D8" s="54" t="s">
        <v>91</v>
      </c>
      <c r="E8" s="120">
        <v>200055</v>
      </c>
      <c r="F8" s="120">
        <v>26985</v>
      </c>
      <c r="G8" s="120">
        <v>812162</v>
      </c>
      <c r="H8" s="120"/>
      <c r="I8" s="120">
        <v>275000</v>
      </c>
      <c r="J8" s="120"/>
      <c r="K8" s="120"/>
      <c r="L8" s="120"/>
      <c r="M8" s="120">
        <v>444000</v>
      </c>
      <c r="N8" s="120"/>
      <c r="O8" s="120"/>
      <c r="P8" s="119">
        <f t="shared" si="0"/>
        <v>1758202</v>
      </c>
    </row>
    <row r="9" spans="1:16" ht="15.75" thickBot="1">
      <c r="A9" s="43" t="s">
        <v>69</v>
      </c>
      <c r="B9" s="25"/>
      <c r="C9" s="27" t="s">
        <v>49</v>
      </c>
      <c r="D9" s="54" t="s">
        <v>50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19">
        <f t="shared" si="0"/>
        <v>0</v>
      </c>
    </row>
    <row r="10" spans="1:16" ht="15.75" thickBot="1">
      <c r="A10" s="43"/>
      <c r="B10" s="25"/>
      <c r="C10" s="27" t="s">
        <v>49</v>
      </c>
      <c r="D10" s="54" t="s">
        <v>91</v>
      </c>
      <c r="E10" s="120"/>
      <c r="F10" s="120"/>
      <c r="G10" s="120"/>
      <c r="H10" s="120"/>
      <c r="I10" s="120"/>
      <c r="J10" s="120"/>
      <c r="K10" s="120"/>
      <c r="L10" s="120"/>
      <c r="M10" s="120">
        <f>47678859.91+10647933+83467000-400000-647508-100000+1000000-8805906-5869512+2200000+2800000+1721518-1000000</f>
        <v>132692384.91</v>
      </c>
      <c r="N10" s="120"/>
      <c r="O10" s="120"/>
      <c r="P10" s="119">
        <f t="shared" si="0"/>
        <v>132692384.91</v>
      </c>
    </row>
    <row r="11" spans="1:16" ht="15.75" thickBot="1">
      <c r="A11" s="43"/>
      <c r="B11" s="25"/>
      <c r="C11" s="27" t="s">
        <v>51</v>
      </c>
      <c r="D11" s="54" t="s">
        <v>91</v>
      </c>
      <c r="E11" s="120"/>
      <c r="F11" s="120"/>
      <c r="G11" s="120"/>
      <c r="H11" s="120"/>
      <c r="I11" s="120"/>
      <c r="J11" s="120"/>
      <c r="K11" s="120"/>
      <c r="L11" s="120"/>
      <c r="M11" s="120">
        <v>647508</v>
      </c>
      <c r="N11" s="120"/>
      <c r="O11" s="120"/>
      <c r="P11" s="119">
        <f t="shared" si="0"/>
        <v>647508</v>
      </c>
    </row>
    <row r="12" spans="1:16" ht="15.75" thickBot="1">
      <c r="A12" s="43"/>
      <c r="B12" s="25"/>
      <c r="C12" s="27" t="s">
        <v>49</v>
      </c>
      <c r="D12" s="54" t="s">
        <v>92</v>
      </c>
      <c r="E12" s="120"/>
      <c r="F12" s="120"/>
      <c r="G12" s="120"/>
      <c r="H12" s="120"/>
      <c r="I12" s="120"/>
      <c r="J12" s="120"/>
      <c r="K12" s="120"/>
      <c r="L12" s="120"/>
      <c r="M12" s="120">
        <v>1383556</v>
      </c>
      <c r="N12" s="120"/>
      <c r="O12" s="120"/>
      <c r="P12" s="119">
        <f t="shared" si="0"/>
        <v>1383556</v>
      </c>
    </row>
    <row r="13" spans="1:16" ht="15.75" thickBot="1">
      <c r="A13" s="136" t="s">
        <v>133</v>
      </c>
      <c r="B13" s="116">
        <f>397046800+3000000+3000000</f>
        <v>403046800</v>
      </c>
      <c r="C13" s="27" t="s">
        <v>52</v>
      </c>
      <c r="D13" s="54" t="s">
        <v>48</v>
      </c>
      <c r="E13" s="120"/>
      <c r="F13" s="120"/>
      <c r="G13" s="120"/>
      <c r="H13" s="120"/>
      <c r="I13" s="120"/>
      <c r="J13" s="120"/>
      <c r="K13" s="120"/>
      <c r="L13" s="120"/>
      <c r="M13" s="120">
        <f>2000000+272512+857122</f>
        <v>3129634</v>
      </c>
      <c r="N13" s="120"/>
      <c r="O13" s="120"/>
      <c r="P13" s="119">
        <f t="shared" si="0"/>
        <v>3129634</v>
      </c>
    </row>
    <row r="14" spans="1:16" ht="24.75" customHeight="1" thickBot="1">
      <c r="A14" s="43" t="s">
        <v>134</v>
      </c>
      <c r="B14" s="117">
        <f>17272000+50000+50000</f>
        <v>17372000</v>
      </c>
      <c r="C14" s="27" t="s">
        <v>47</v>
      </c>
      <c r="D14" s="54" t="s">
        <v>55</v>
      </c>
      <c r="E14" s="120"/>
      <c r="F14" s="120"/>
      <c r="G14" s="120">
        <v>4830000</v>
      </c>
      <c r="H14" s="120"/>
      <c r="I14" s="120"/>
      <c r="J14" s="120"/>
      <c r="K14" s="120"/>
      <c r="L14" s="120"/>
      <c r="M14" s="120"/>
      <c r="N14" s="120"/>
      <c r="O14" s="120"/>
      <c r="P14" s="119">
        <f t="shared" si="0"/>
        <v>4830000</v>
      </c>
    </row>
    <row r="15" spans="1:16" ht="15.75" customHeight="1" thickBot="1">
      <c r="A15" s="45" t="s">
        <v>135</v>
      </c>
      <c r="B15" s="116">
        <f>172460000-5173000</f>
        <v>167287000</v>
      </c>
      <c r="C15" s="27" t="s">
        <v>51</v>
      </c>
      <c r="D15" s="54" t="s">
        <v>57</v>
      </c>
      <c r="E15" s="120">
        <v>4057000</v>
      </c>
      <c r="F15" s="120">
        <v>646000</v>
      </c>
      <c r="G15" s="120">
        <v>1510000</v>
      </c>
      <c r="H15" s="120"/>
      <c r="I15" s="120"/>
      <c r="J15" s="120"/>
      <c r="K15" s="120"/>
      <c r="L15" s="120"/>
      <c r="M15" s="120"/>
      <c r="N15" s="120"/>
      <c r="O15" s="120"/>
      <c r="P15" s="119">
        <f t="shared" si="0"/>
        <v>6213000</v>
      </c>
    </row>
    <row r="16" spans="1:16" ht="25.5" customHeight="1" thickBot="1">
      <c r="A16" s="125" t="s">
        <v>93</v>
      </c>
      <c r="B16" s="116">
        <v>23776307</v>
      </c>
      <c r="C16" s="27" t="s">
        <v>51</v>
      </c>
      <c r="D16" s="55" t="s">
        <v>59</v>
      </c>
      <c r="E16" s="120">
        <v>8505000</v>
      </c>
      <c r="F16" s="120">
        <v>1353000</v>
      </c>
      <c r="G16" s="120">
        <f>31550000+945486+525000</f>
        <v>33020486</v>
      </c>
      <c r="H16" s="120"/>
      <c r="I16" s="120"/>
      <c r="J16" s="120">
        <f>319400+945000</f>
        <v>1264400</v>
      </c>
      <c r="K16" s="120"/>
      <c r="L16" s="120"/>
      <c r="M16" s="120">
        <v>980000</v>
      </c>
      <c r="N16" s="120"/>
      <c r="O16" s="120"/>
      <c r="P16" s="119">
        <f t="shared" si="0"/>
        <v>45122886</v>
      </c>
    </row>
    <row r="17" spans="1:16" ht="15.75" thickBot="1">
      <c r="A17" s="47" t="s">
        <v>136</v>
      </c>
      <c r="B17" s="116">
        <v>88665757.08</v>
      </c>
      <c r="C17" s="27" t="s">
        <v>60</v>
      </c>
      <c r="D17" s="55" t="s">
        <v>61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19">
        <f t="shared" si="0"/>
        <v>0</v>
      </c>
    </row>
    <row r="18" spans="1:16" ht="15.75" thickBot="1">
      <c r="A18" s="46"/>
      <c r="B18" s="116"/>
      <c r="C18" s="27" t="s">
        <v>62</v>
      </c>
      <c r="D18" s="55" t="s">
        <v>63</v>
      </c>
      <c r="E18" s="120"/>
      <c r="F18" s="120"/>
      <c r="G18" s="120">
        <f>317701+7200000</f>
        <v>7517701</v>
      </c>
      <c r="H18" s="120"/>
      <c r="I18" s="120"/>
      <c r="J18" s="120"/>
      <c r="K18" s="120"/>
      <c r="L18" s="120"/>
      <c r="M18" s="120">
        <v>200000</v>
      </c>
      <c r="N18" s="120"/>
      <c r="O18" s="120"/>
      <c r="P18" s="119">
        <f t="shared" si="0"/>
        <v>7717701</v>
      </c>
    </row>
    <row r="19" spans="1:16" ht="15.75" thickBot="1">
      <c r="A19" s="47"/>
      <c r="B19" s="116"/>
      <c r="C19" s="27" t="s">
        <v>64</v>
      </c>
      <c r="D19" s="54" t="s">
        <v>36</v>
      </c>
      <c r="E19" s="120">
        <v>10815000</v>
      </c>
      <c r="F19" s="120">
        <v>1720000</v>
      </c>
      <c r="G19" s="120">
        <f>13800000+68104</f>
        <v>13868104</v>
      </c>
      <c r="H19" s="120"/>
      <c r="I19" s="120"/>
      <c r="J19" s="120"/>
      <c r="K19" s="120"/>
      <c r="L19" s="120"/>
      <c r="M19" s="120">
        <v>200000</v>
      </c>
      <c r="N19" s="120"/>
      <c r="O19" s="120"/>
      <c r="P19" s="119">
        <f t="shared" si="0"/>
        <v>26603104</v>
      </c>
    </row>
    <row r="20" spans="1:16" ht="15.75" thickBot="1">
      <c r="A20" s="43"/>
      <c r="B20" s="116"/>
      <c r="C20" s="27" t="s">
        <v>65</v>
      </c>
      <c r="D20" s="54" t="s">
        <v>66</v>
      </c>
      <c r="E20" s="120">
        <v>6174228</v>
      </c>
      <c r="F20" s="120">
        <v>981519</v>
      </c>
      <c r="G20" s="120">
        <f>12382000+400000</f>
        <v>12782000</v>
      </c>
      <c r="H20" s="120"/>
      <c r="I20" s="120"/>
      <c r="J20" s="120"/>
      <c r="K20" s="120"/>
      <c r="L20" s="120"/>
      <c r="M20" s="120"/>
      <c r="N20" s="120"/>
      <c r="O20" s="120"/>
      <c r="P20" s="119">
        <f t="shared" si="0"/>
        <v>19937747</v>
      </c>
    </row>
    <row r="21" spans="1:16" ht="15.75" thickBot="1">
      <c r="A21" s="43"/>
      <c r="B21" s="116"/>
      <c r="C21" s="27" t="s">
        <v>67</v>
      </c>
      <c r="D21" s="54" t="s">
        <v>68</v>
      </c>
      <c r="E21" s="120"/>
      <c r="F21" s="120"/>
      <c r="G21" s="120"/>
      <c r="H21" s="120"/>
      <c r="I21" s="120"/>
      <c r="J21" s="120"/>
      <c r="K21" s="120"/>
      <c r="L21" s="120"/>
      <c r="M21" s="120">
        <f>50059.5+600000</f>
        <v>650059.5</v>
      </c>
      <c r="N21" s="120"/>
      <c r="O21" s="120"/>
      <c r="P21" s="119">
        <f t="shared" si="0"/>
        <v>650059.5</v>
      </c>
    </row>
    <row r="22" spans="1:16" ht="15.75" thickBot="1">
      <c r="A22" s="46" t="s">
        <v>69</v>
      </c>
      <c r="B22" s="116"/>
      <c r="C22" s="27" t="s">
        <v>65</v>
      </c>
      <c r="D22" s="54" t="s">
        <v>70</v>
      </c>
      <c r="E22" s="120">
        <v>3558000</v>
      </c>
      <c r="F22" s="120">
        <v>568000</v>
      </c>
      <c r="G22" s="120">
        <f>1600000+10330000</f>
        <v>11930000</v>
      </c>
      <c r="H22" s="120"/>
      <c r="I22" s="120"/>
      <c r="J22" s="120"/>
      <c r="K22" s="120"/>
      <c r="L22" s="120"/>
      <c r="M22" s="120">
        <v>1400000</v>
      </c>
      <c r="N22" s="120"/>
      <c r="O22" s="120"/>
      <c r="P22" s="119">
        <f t="shared" si="0"/>
        <v>17456000</v>
      </c>
    </row>
    <row r="23" spans="1:16" ht="15.75" thickBot="1">
      <c r="A23" s="46"/>
      <c r="B23" s="116"/>
      <c r="C23" s="27" t="s">
        <v>67</v>
      </c>
      <c r="D23" s="54" t="s">
        <v>129</v>
      </c>
      <c r="E23" s="120"/>
      <c r="F23" s="120"/>
      <c r="G23" s="120">
        <v>200</v>
      </c>
      <c r="H23" s="120"/>
      <c r="I23" s="120"/>
      <c r="J23" s="120"/>
      <c r="K23" s="120"/>
      <c r="L23" s="120"/>
      <c r="M23" s="120"/>
      <c r="N23" s="120"/>
      <c r="O23" s="120"/>
      <c r="P23" s="119">
        <f t="shared" si="0"/>
        <v>200</v>
      </c>
    </row>
    <row r="24" spans="1:16" ht="15.75" thickBot="1">
      <c r="A24" s="46"/>
      <c r="B24" s="116"/>
      <c r="C24" s="27" t="s">
        <v>71</v>
      </c>
      <c r="D24" s="54" t="s">
        <v>72</v>
      </c>
      <c r="E24" s="120">
        <v>6256000</v>
      </c>
      <c r="F24" s="120">
        <v>995000</v>
      </c>
      <c r="G24" s="120">
        <f>1520000+15755000+100000+2874500</f>
        <v>20249500</v>
      </c>
      <c r="H24" s="120"/>
      <c r="I24" s="120"/>
      <c r="J24" s="120"/>
      <c r="K24" s="120"/>
      <c r="L24" s="120"/>
      <c r="M24" s="120">
        <f>137000+630000+1000000+480000</f>
        <v>2247000</v>
      </c>
      <c r="N24" s="120"/>
      <c r="O24" s="120"/>
      <c r="P24" s="119">
        <f t="shared" si="0"/>
        <v>29747500</v>
      </c>
    </row>
    <row r="25" spans="1:16" ht="15.75" thickBot="1">
      <c r="A25" s="46"/>
      <c r="B25" s="116"/>
      <c r="C25" s="27" t="s">
        <v>73</v>
      </c>
      <c r="D25" s="54" t="s">
        <v>74</v>
      </c>
      <c r="E25" s="120"/>
      <c r="F25" s="120"/>
      <c r="G25" s="120">
        <v>6238</v>
      </c>
      <c r="H25" s="120"/>
      <c r="I25" s="120"/>
      <c r="J25" s="120"/>
      <c r="K25" s="120"/>
      <c r="L25" s="120"/>
      <c r="M25" s="120"/>
      <c r="N25" s="120"/>
      <c r="O25" s="120"/>
      <c r="P25" s="119">
        <f t="shared" si="0"/>
        <v>6238</v>
      </c>
    </row>
    <row r="26" spans="1:16" ht="15.75" thickBot="1">
      <c r="A26" s="46"/>
      <c r="B26" s="116"/>
      <c r="C26" s="27" t="s">
        <v>71</v>
      </c>
      <c r="D26" s="54" t="s">
        <v>9</v>
      </c>
      <c r="E26" s="120">
        <v>10586000</v>
      </c>
      <c r="F26" s="120">
        <v>1690000</v>
      </c>
      <c r="G26" s="120">
        <v>9679000</v>
      </c>
      <c r="H26" s="120"/>
      <c r="I26" s="120"/>
      <c r="J26" s="120"/>
      <c r="K26" s="120"/>
      <c r="L26" s="120"/>
      <c r="M26" s="120"/>
      <c r="N26" s="120"/>
      <c r="O26" s="120"/>
      <c r="P26" s="119">
        <f t="shared" si="0"/>
        <v>21955000</v>
      </c>
    </row>
    <row r="27" spans="1:16" ht="15.75" thickBot="1">
      <c r="A27" s="46"/>
      <c r="B27" s="116"/>
      <c r="C27" s="27" t="s">
        <v>47</v>
      </c>
      <c r="D27" s="54" t="s">
        <v>11</v>
      </c>
      <c r="E27" s="120"/>
      <c r="F27" s="120"/>
      <c r="G27" s="120"/>
      <c r="H27" s="120"/>
      <c r="I27" s="120"/>
      <c r="J27" s="120"/>
      <c r="K27" s="120"/>
      <c r="L27" s="120"/>
      <c r="M27" s="120">
        <f>450000+12550358+1693+3500</f>
        <v>13005551</v>
      </c>
      <c r="N27" s="120"/>
      <c r="O27" s="120"/>
      <c r="P27" s="119">
        <f t="shared" si="0"/>
        <v>13005551</v>
      </c>
    </row>
    <row r="28" spans="1:16" ht="15.75" thickBot="1">
      <c r="A28" s="46"/>
      <c r="B28" s="116"/>
      <c r="C28" s="27" t="s">
        <v>71</v>
      </c>
      <c r="D28" s="54" t="s">
        <v>75</v>
      </c>
      <c r="E28" s="120">
        <v>5891000</v>
      </c>
      <c r="F28" s="120">
        <v>937000</v>
      </c>
      <c r="G28" s="120">
        <v>2275000</v>
      </c>
      <c r="H28" s="120"/>
      <c r="I28" s="120"/>
      <c r="J28" s="120"/>
      <c r="K28" s="120"/>
      <c r="L28" s="120"/>
      <c r="M28" s="120">
        <f>331850+1100000</f>
        <v>1431850</v>
      </c>
      <c r="N28" s="120"/>
      <c r="O28" s="120"/>
      <c r="P28" s="119">
        <f t="shared" si="0"/>
        <v>10534850</v>
      </c>
    </row>
    <row r="29" spans="1:16" ht="15.75" thickBot="1">
      <c r="A29" s="46"/>
      <c r="B29" s="116"/>
      <c r="C29" s="27" t="s">
        <v>52</v>
      </c>
      <c r="D29" s="54" t="s">
        <v>76</v>
      </c>
      <c r="E29" s="120">
        <v>38361000</v>
      </c>
      <c r="F29" s="120">
        <v>6081000</v>
      </c>
      <c r="G29" s="120">
        <f>50969630+3011000+125000</f>
        <v>54105630</v>
      </c>
      <c r="H29" s="120"/>
      <c r="I29" s="120"/>
      <c r="J29" s="120"/>
      <c r="K29" s="120"/>
      <c r="L29" s="120"/>
      <c r="M29" s="120">
        <f>32000+4318000</f>
        <v>4350000</v>
      </c>
      <c r="N29" s="120"/>
      <c r="O29" s="120"/>
      <c r="P29" s="119">
        <f t="shared" si="0"/>
        <v>102897630</v>
      </c>
    </row>
    <row r="30" spans="1:16" ht="15.75" thickBot="1">
      <c r="A30" s="48"/>
      <c r="B30" s="117"/>
      <c r="C30" s="27" t="s">
        <v>52</v>
      </c>
      <c r="D30" s="54" t="s">
        <v>81</v>
      </c>
      <c r="E30" s="120">
        <v>496081</v>
      </c>
      <c r="F30" s="120">
        <v>78900</v>
      </c>
      <c r="G30" s="120">
        <f>2695564+59284229</f>
        <v>61979793</v>
      </c>
      <c r="H30" s="120"/>
      <c r="I30" s="120"/>
      <c r="J30" s="120"/>
      <c r="K30" s="120"/>
      <c r="L30" s="120"/>
      <c r="M30" s="120"/>
      <c r="N30" s="120"/>
      <c r="O30" s="120"/>
      <c r="P30" s="119">
        <f t="shared" si="0"/>
        <v>62554774</v>
      </c>
    </row>
    <row r="31" spans="1:16" ht="15.75" thickBot="1">
      <c r="A31" s="48"/>
      <c r="B31" s="117"/>
      <c r="C31" s="27" t="s">
        <v>52</v>
      </c>
      <c r="D31" s="54" t="s">
        <v>82</v>
      </c>
      <c r="E31" s="120"/>
      <c r="F31" s="120"/>
      <c r="G31" s="120">
        <v>4223113</v>
      </c>
      <c r="H31" s="120"/>
      <c r="I31" s="120"/>
      <c r="J31" s="120"/>
      <c r="K31" s="120"/>
      <c r="L31" s="120"/>
      <c r="M31" s="120"/>
      <c r="N31" s="120"/>
      <c r="O31" s="120"/>
      <c r="P31" s="119">
        <f t="shared" si="0"/>
        <v>4223113</v>
      </c>
    </row>
    <row r="32" spans="1:16" ht="15.75" thickBot="1">
      <c r="A32" s="48"/>
      <c r="B32" s="117"/>
      <c r="C32" s="27" t="s">
        <v>79</v>
      </c>
      <c r="D32" s="54" t="s">
        <v>18</v>
      </c>
      <c r="E32" s="120"/>
      <c r="F32" s="120"/>
      <c r="G32" s="120"/>
      <c r="H32" s="120">
        <v>4500000</v>
      </c>
      <c r="I32" s="120"/>
      <c r="J32" s="120"/>
      <c r="K32" s="120"/>
      <c r="L32" s="120"/>
      <c r="M32" s="120"/>
      <c r="N32" s="120"/>
      <c r="O32" s="120"/>
      <c r="P32" s="119">
        <f t="shared" si="0"/>
        <v>4500000</v>
      </c>
    </row>
    <row r="33" spans="1:16" ht="15.75" thickBot="1">
      <c r="A33" s="48"/>
      <c r="B33" s="117"/>
      <c r="C33" s="27" t="s">
        <v>83</v>
      </c>
      <c r="D33" s="54" t="s">
        <v>21</v>
      </c>
      <c r="E33" s="120"/>
      <c r="F33" s="120"/>
      <c r="G33" s="120"/>
      <c r="H33" s="120"/>
      <c r="I33" s="120"/>
      <c r="J33" s="120"/>
      <c r="K33" s="120">
        <f>3000000-372000</f>
        <v>2628000</v>
      </c>
      <c r="L33" s="120"/>
      <c r="M33" s="120"/>
      <c r="N33" s="120"/>
      <c r="O33" s="120"/>
      <c r="P33" s="119">
        <f t="shared" si="0"/>
        <v>2628000</v>
      </c>
    </row>
    <row r="34" spans="1:16" ht="15.75" thickBot="1">
      <c r="A34" s="48"/>
      <c r="B34" s="117"/>
      <c r="C34" s="27" t="s">
        <v>83</v>
      </c>
      <c r="D34" s="54" t="s">
        <v>138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19">
        <f t="shared" si="0"/>
        <v>0</v>
      </c>
    </row>
    <row r="35" spans="1:16" ht="15.75" thickBot="1">
      <c r="A35" s="48"/>
      <c r="B35" s="117"/>
      <c r="C35" s="27" t="s">
        <v>47</v>
      </c>
      <c r="D35" s="54" t="s">
        <v>139</v>
      </c>
      <c r="E35" s="120"/>
      <c r="F35" s="120"/>
      <c r="G35" s="120"/>
      <c r="H35" s="120"/>
      <c r="I35" s="120">
        <v>6000000</v>
      </c>
      <c r="J35" s="120"/>
      <c r="K35" s="120"/>
      <c r="L35" s="120"/>
      <c r="M35" s="120"/>
      <c r="N35" s="120"/>
      <c r="O35" s="120"/>
      <c r="P35" s="119">
        <f t="shared" si="0"/>
        <v>6000000</v>
      </c>
    </row>
    <row r="36" spans="1:16" ht="15.75" thickBot="1">
      <c r="A36" s="48"/>
      <c r="B36" s="117"/>
      <c r="C36" s="27" t="s">
        <v>83</v>
      </c>
      <c r="D36" s="54" t="s">
        <v>85</v>
      </c>
      <c r="E36" s="120"/>
      <c r="F36" s="120"/>
      <c r="G36" s="120"/>
      <c r="H36" s="120"/>
      <c r="I36" s="120"/>
      <c r="J36" s="120">
        <f>120000+500000</f>
        <v>620000</v>
      </c>
      <c r="K36" s="120"/>
      <c r="L36" s="120"/>
      <c r="M36" s="120"/>
      <c r="N36" s="120"/>
      <c r="O36" s="120"/>
      <c r="P36" s="119">
        <f t="shared" si="0"/>
        <v>620000</v>
      </c>
    </row>
    <row r="37" spans="1:16" ht="15.75" thickBot="1">
      <c r="A37" s="48"/>
      <c r="B37" s="117"/>
      <c r="C37" s="27" t="s">
        <v>87</v>
      </c>
      <c r="D37" s="54" t="s">
        <v>37</v>
      </c>
      <c r="E37" s="120"/>
      <c r="F37" s="120"/>
      <c r="G37" s="120">
        <f>65478+300000+50000</f>
        <v>415478</v>
      </c>
      <c r="H37" s="120"/>
      <c r="I37" s="120"/>
      <c r="J37" s="120"/>
      <c r="K37" s="120"/>
      <c r="L37" s="120"/>
      <c r="M37" s="120">
        <v>50000</v>
      </c>
      <c r="N37" s="120"/>
      <c r="O37" s="120"/>
      <c r="P37" s="119">
        <f t="shared" si="0"/>
        <v>465478</v>
      </c>
    </row>
    <row r="38" spans="1:16" ht="15.75" thickBot="1">
      <c r="A38" s="48"/>
      <c r="B38" s="117"/>
      <c r="C38" s="27" t="s">
        <v>119</v>
      </c>
      <c r="D38" s="54" t="s">
        <v>130</v>
      </c>
      <c r="E38" s="120"/>
      <c r="F38" s="120"/>
      <c r="G38" s="120">
        <v>5024</v>
      </c>
      <c r="H38" s="120"/>
      <c r="I38" s="120"/>
      <c r="J38" s="120"/>
      <c r="K38" s="120"/>
      <c r="L38" s="120"/>
      <c r="M38" s="120"/>
      <c r="N38" s="120"/>
      <c r="O38" s="120"/>
      <c r="P38" s="119">
        <f t="shared" si="0"/>
        <v>5024</v>
      </c>
    </row>
    <row r="39" spans="1:16" ht="15.75" thickBot="1">
      <c r="A39" s="48"/>
      <c r="B39" s="117"/>
      <c r="C39" s="27" t="s">
        <v>87</v>
      </c>
      <c r="D39" s="54" t="s">
        <v>88</v>
      </c>
      <c r="E39" s="120"/>
      <c r="F39" s="120"/>
      <c r="G39" s="120">
        <f>200104+500000</f>
        <v>700104</v>
      </c>
      <c r="H39" s="120"/>
      <c r="I39" s="120"/>
      <c r="J39" s="120"/>
      <c r="K39" s="120"/>
      <c r="L39" s="120"/>
      <c r="M39" s="120">
        <v>100000</v>
      </c>
      <c r="N39" s="120"/>
      <c r="O39" s="120"/>
      <c r="P39" s="119">
        <f t="shared" si="0"/>
        <v>800104</v>
      </c>
    </row>
    <row r="40" spans="1:16" ht="15.75" thickBot="1">
      <c r="A40" s="48"/>
      <c r="B40" s="117"/>
      <c r="C40" s="27" t="s">
        <v>87</v>
      </c>
      <c r="D40" s="54" t="s">
        <v>120</v>
      </c>
      <c r="E40" s="120"/>
      <c r="F40" s="120"/>
      <c r="G40" s="120">
        <f>900+374865+50000</f>
        <v>425765</v>
      </c>
      <c r="H40" s="120"/>
      <c r="I40" s="120"/>
      <c r="J40" s="120"/>
      <c r="K40" s="120"/>
      <c r="L40" s="120"/>
      <c r="M40" s="120"/>
      <c r="N40" s="120"/>
      <c r="O40" s="120"/>
      <c r="P40" s="119">
        <f t="shared" si="0"/>
        <v>425765</v>
      </c>
    </row>
    <row r="41" spans="1:16" ht="15.75" thickBot="1">
      <c r="A41" s="23"/>
      <c r="B41" s="210"/>
      <c r="C41" s="56" t="s">
        <v>119</v>
      </c>
      <c r="D41" s="57" t="s">
        <v>120</v>
      </c>
      <c r="E41" s="211"/>
      <c r="F41" s="211"/>
      <c r="G41" s="211">
        <v>186656.67</v>
      </c>
      <c r="H41" s="211"/>
      <c r="I41" s="211"/>
      <c r="J41" s="211"/>
      <c r="K41" s="211"/>
      <c r="L41" s="211"/>
      <c r="M41" s="211"/>
      <c r="N41" s="211"/>
      <c r="O41" s="211"/>
      <c r="P41" s="119">
        <f t="shared" si="0"/>
        <v>186656.67</v>
      </c>
    </row>
    <row r="42" spans="1:16" ht="15.75" thickBot="1">
      <c r="A42" s="201" t="s">
        <v>89</v>
      </c>
      <c r="B42" s="207">
        <f>SUM(B6:B36)</f>
        <v>700147864.08</v>
      </c>
      <c r="C42" s="203"/>
      <c r="D42" s="204" t="s">
        <v>90</v>
      </c>
      <c r="E42" s="208">
        <f aca="true" t="shared" si="1" ref="E42:P42">SUM(E6:E41)</f>
        <v>173781291</v>
      </c>
      <c r="F42" s="208">
        <f t="shared" si="1"/>
        <v>27667234</v>
      </c>
      <c r="G42" s="208">
        <f t="shared" si="1"/>
        <v>292591695.67</v>
      </c>
      <c r="H42" s="208">
        <f t="shared" si="1"/>
        <v>4500000</v>
      </c>
      <c r="I42" s="208">
        <f t="shared" si="1"/>
        <v>15712500</v>
      </c>
      <c r="J42" s="208">
        <f t="shared" si="1"/>
        <v>2564400</v>
      </c>
      <c r="K42" s="208">
        <f t="shared" si="1"/>
        <v>2628000</v>
      </c>
      <c r="L42" s="208">
        <f t="shared" si="1"/>
        <v>5300000</v>
      </c>
      <c r="M42" s="208">
        <f t="shared" si="1"/>
        <v>165902743.41</v>
      </c>
      <c r="N42" s="208">
        <f t="shared" si="1"/>
        <v>5300000</v>
      </c>
      <c r="O42" s="208">
        <f t="shared" si="1"/>
        <v>4200000</v>
      </c>
      <c r="P42" s="209">
        <f t="shared" si="1"/>
        <v>700147864.0799999</v>
      </c>
    </row>
    <row r="43" spans="1:16" ht="15.75">
      <c r="A43" s="223" t="s">
        <v>31</v>
      </c>
      <c r="B43" s="224"/>
      <c r="C43" s="224"/>
      <c r="D43" s="224"/>
      <c r="E43" s="224"/>
      <c r="F43" s="224"/>
      <c r="G43" s="224" t="s">
        <v>32</v>
      </c>
      <c r="H43" s="224"/>
      <c r="I43" s="130"/>
      <c r="J43" s="130"/>
      <c r="K43" s="130"/>
      <c r="L43" s="130"/>
      <c r="M43" s="131"/>
      <c r="N43" s="131"/>
      <c r="O43" s="131"/>
      <c r="P43" s="131"/>
    </row>
    <row r="44" spans="1:16" ht="15.75">
      <c r="A44" s="225" t="s">
        <v>33</v>
      </c>
      <c r="B44" s="225"/>
      <c r="C44" s="225"/>
      <c r="D44" s="225"/>
      <c r="E44" s="225"/>
      <c r="F44" s="226"/>
      <c r="G44" s="225" t="s">
        <v>34</v>
      </c>
      <c r="H44" s="225"/>
      <c r="I44" s="132"/>
      <c r="J44" s="132"/>
      <c r="K44" s="132"/>
      <c r="L44" s="133"/>
      <c r="M44" s="133"/>
      <c r="N44" s="133"/>
      <c r="O44" s="133"/>
      <c r="P44" s="133"/>
    </row>
    <row r="45" spans="1:8" ht="15.75">
      <c r="A45" s="227"/>
      <c r="B45" s="227"/>
      <c r="C45" s="227"/>
      <c r="D45" s="227"/>
      <c r="E45" s="227"/>
      <c r="F45" s="227"/>
      <c r="G45" s="227"/>
      <c r="H45" s="227"/>
    </row>
    <row r="49" ht="15">
      <c r="I49" s="139"/>
    </row>
  </sheetData>
  <sheetProtection/>
  <mergeCells count="16">
    <mergeCell ref="A2:B2"/>
    <mergeCell ref="C2:P2"/>
    <mergeCell ref="A3:A4"/>
    <mergeCell ref="B3:B4"/>
    <mergeCell ref="E3:G3"/>
    <mergeCell ref="I3:P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</mergeCells>
  <printOptions/>
  <pageMargins left="0.32" right="0.26" top="0.17" bottom="0.17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23.57421875" style="0" customWidth="1"/>
    <col min="2" max="2" width="7.421875" style="0" customWidth="1"/>
    <col min="4" max="4" width="17.00390625" style="0" customWidth="1"/>
    <col min="5" max="5" width="6.8515625" style="0" customWidth="1"/>
    <col min="6" max="6" width="7.28125" style="0" customWidth="1"/>
    <col min="7" max="7" width="7.140625" style="0" customWidth="1"/>
    <col min="8" max="8" width="6.7109375" style="0" customWidth="1"/>
    <col min="9" max="9" width="7.421875" style="0" customWidth="1"/>
    <col min="10" max="12" width="7.140625" style="0" customWidth="1"/>
    <col min="13" max="13" width="8.00390625" style="0" customWidth="1"/>
    <col min="14" max="14" width="7.57421875" style="0" customWidth="1"/>
  </cols>
  <sheetData>
    <row r="1" spans="1:3" ht="15.75" thickBot="1">
      <c r="A1" s="4" t="s">
        <v>114</v>
      </c>
      <c r="C1" s="4" t="s">
        <v>115</v>
      </c>
    </row>
    <row r="2" spans="1:14" ht="15">
      <c r="A2" s="278" t="s">
        <v>40</v>
      </c>
      <c r="B2" s="279"/>
      <c r="C2" s="280" t="s">
        <v>41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5">
      <c r="A3" s="259" t="s">
        <v>42</v>
      </c>
      <c r="B3" s="271" t="s">
        <v>43</v>
      </c>
      <c r="C3" s="21" t="s">
        <v>44</v>
      </c>
      <c r="D3" s="21" t="s">
        <v>45</v>
      </c>
      <c r="E3" s="275"/>
      <c r="F3" s="275"/>
      <c r="G3" s="275"/>
      <c r="H3" s="22"/>
      <c r="I3" s="276"/>
      <c r="J3" s="276"/>
      <c r="K3" s="276"/>
      <c r="L3" s="276"/>
      <c r="M3" s="276"/>
      <c r="N3" s="277"/>
    </row>
    <row r="4" spans="1:14" ht="15">
      <c r="A4" s="259"/>
      <c r="B4" s="271"/>
      <c r="C4" s="21" t="s">
        <v>46</v>
      </c>
      <c r="D4" s="21"/>
      <c r="E4" s="271">
        <v>6000000</v>
      </c>
      <c r="F4" s="271">
        <v>6010000</v>
      </c>
      <c r="G4" s="271">
        <v>6020000</v>
      </c>
      <c r="H4" s="271">
        <v>6030000</v>
      </c>
      <c r="I4" s="271">
        <v>6040000</v>
      </c>
      <c r="J4" s="271">
        <v>6060000</v>
      </c>
      <c r="K4" s="271">
        <v>6090000</v>
      </c>
      <c r="L4" s="271">
        <v>2300000</v>
      </c>
      <c r="M4" s="271">
        <v>2310000</v>
      </c>
      <c r="N4" s="260" t="s">
        <v>27</v>
      </c>
    </row>
    <row r="5" spans="1:14" ht="15.75" thickBot="1">
      <c r="A5" s="126"/>
      <c r="B5" s="200"/>
      <c r="C5" s="200"/>
      <c r="D5" s="200"/>
      <c r="E5" s="272"/>
      <c r="F5" s="272"/>
      <c r="G5" s="272"/>
      <c r="H5" s="272"/>
      <c r="I5" s="272"/>
      <c r="J5" s="272"/>
      <c r="K5" s="272"/>
      <c r="L5" s="272"/>
      <c r="M5" s="272"/>
      <c r="N5" s="273"/>
    </row>
    <row r="6" spans="1:14" ht="15">
      <c r="A6" s="39"/>
      <c r="B6" s="40"/>
      <c r="C6" s="52" t="s">
        <v>47</v>
      </c>
      <c r="D6" s="53" t="s">
        <v>48</v>
      </c>
      <c r="E6" s="41">
        <f>'Analiza 2010'!D21</f>
        <v>71424</v>
      </c>
      <c r="F6" s="41">
        <f>'Analiza 2010'!G21</f>
        <v>11578</v>
      </c>
      <c r="G6" s="41">
        <f>'Analiza 2010'!J21+'Analiza 2010'!J22-645</f>
        <v>36448</v>
      </c>
      <c r="H6" s="41">
        <f>'Analiza 2010'!M21</f>
        <v>0</v>
      </c>
      <c r="I6" s="41">
        <v>2487</v>
      </c>
      <c r="J6" s="41">
        <f>'Analiza 2010'!S21</f>
        <v>750</v>
      </c>
      <c r="K6" s="41">
        <f>'Analiza 2010'!V21</f>
        <v>0</v>
      </c>
      <c r="L6" s="41">
        <f>'Analiza 2010'!Y21</f>
        <v>5188</v>
      </c>
      <c r="M6" s="41">
        <f>'Analiza 2010'!AB21</f>
        <v>1314</v>
      </c>
      <c r="N6" s="42">
        <f>SUM(E6:M6)</f>
        <v>129189</v>
      </c>
    </row>
    <row r="7" spans="1:14" ht="15">
      <c r="A7" s="43"/>
      <c r="B7" s="25"/>
      <c r="C7" s="27" t="s">
        <v>137</v>
      </c>
      <c r="D7" s="54" t="s">
        <v>143</v>
      </c>
      <c r="E7" s="26"/>
      <c r="F7" s="26"/>
      <c r="G7" s="26">
        <v>645</v>
      </c>
      <c r="H7" s="26"/>
      <c r="I7" s="26"/>
      <c r="J7" s="26"/>
      <c r="K7" s="26"/>
      <c r="L7" s="26"/>
      <c r="M7" s="26"/>
      <c r="N7" s="44">
        <f>SUM(E7:M7)</f>
        <v>645</v>
      </c>
    </row>
    <row r="8" spans="1:14" ht="15">
      <c r="A8" s="43"/>
      <c r="B8" s="25"/>
      <c r="C8" s="27" t="s">
        <v>49</v>
      </c>
      <c r="D8" s="54" t="s">
        <v>91</v>
      </c>
      <c r="E8" s="26"/>
      <c r="F8" s="26"/>
      <c r="G8" s="26"/>
      <c r="H8" s="26"/>
      <c r="I8" s="26"/>
      <c r="J8" s="26"/>
      <c r="K8" s="26"/>
      <c r="L8" s="26"/>
      <c r="M8" s="26">
        <v>61024</v>
      </c>
      <c r="N8" s="44">
        <f>SUM(E8:M8)</f>
        <v>61024</v>
      </c>
    </row>
    <row r="9" spans="1:16" ht="15">
      <c r="A9" s="43"/>
      <c r="B9" s="25"/>
      <c r="C9" s="27" t="s">
        <v>51</v>
      </c>
      <c r="D9" s="54" t="s">
        <v>48</v>
      </c>
      <c r="E9" s="26"/>
      <c r="F9" s="27"/>
      <c r="G9" s="26"/>
      <c r="H9" s="26"/>
      <c r="I9" s="26"/>
      <c r="J9" s="26"/>
      <c r="K9" s="26"/>
      <c r="L9" s="26"/>
      <c r="M9" s="26">
        <f>'Analiza 2010'!AB27</f>
        <v>947</v>
      </c>
      <c r="N9" s="44">
        <f aca="true" t="shared" si="0" ref="N9:N32">SUM(E9:M9)</f>
        <v>947</v>
      </c>
      <c r="P9" s="80"/>
    </row>
    <row r="10" spans="1:14" ht="15">
      <c r="A10" s="43"/>
      <c r="B10" s="28"/>
      <c r="C10" s="27" t="s">
        <v>52</v>
      </c>
      <c r="D10" s="54" t="s">
        <v>48</v>
      </c>
      <c r="E10" s="27"/>
      <c r="F10" s="27"/>
      <c r="G10" s="27"/>
      <c r="H10" s="26"/>
      <c r="I10" s="26"/>
      <c r="J10" s="26"/>
      <c r="K10" s="26"/>
      <c r="L10" s="26"/>
      <c r="M10" s="26">
        <f>'Analiza 2010'!AB28</f>
        <v>0</v>
      </c>
      <c r="N10" s="44">
        <f t="shared" si="0"/>
        <v>0</v>
      </c>
    </row>
    <row r="11" spans="1:14" ht="15.75" customHeight="1">
      <c r="A11" s="43" t="s">
        <v>54</v>
      </c>
      <c r="B11" s="26">
        <v>14998</v>
      </c>
      <c r="C11" s="27" t="s">
        <v>47</v>
      </c>
      <c r="D11" s="54" t="s">
        <v>55</v>
      </c>
      <c r="E11" s="27"/>
      <c r="F11" s="27"/>
      <c r="G11" s="26">
        <f>'Analiza 2010'!J30</f>
        <v>4830</v>
      </c>
      <c r="H11" s="26"/>
      <c r="I11" s="26"/>
      <c r="J11" s="26"/>
      <c r="K11" s="26"/>
      <c r="L11" s="26"/>
      <c r="M11" s="26"/>
      <c r="N11" s="44">
        <f t="shared" si="0"/>
        <v>4830</v>
      </c>
    </row>
    <row r="12" spans="1:16" ht="15.75" customHeight="1">
      <c r="A12" s="45" t="s">
        <v>56</v>
      </c>
      <c r="B12" s="112">
        <v>363049</v>
      </c>
      <c r="C12" s="27" t="s">
        <v>51</v>
      </c>
      <c r="D12" s="54" t="s">
        <v>57</v>
      </c>
      <c r="E12" s="26">
        <f>'Analiza 2010'!D6</f>
        <v>3872</v>
      </c>
      <c r="F12" s="26">
        <f>'Analiza 2010'!G6</f>
        <v>627</v>
      </c>
      <c r="G12" s="26">
        <f>'Analiza 2010'!J6</f>
        <v>1488</v>
      </c>
      <c r="H12" s="26"/>
      <c r="I12" s="26"/>
      <c r="J12" s="26"/>
      <c r="K12" s="26"/>
      <c r="L12" s="26"/>
      <c r="M12" s="26"/>
      <c r="N12" s="44">
        <f t="shared" si="0"/>
        <v>5987</v>
      </c>
      <c r="P12" s="80"/>
    </row>
    <row r="13" spans="1:14" ht="15" customHeight="1">
      <c r="A13" s="45" t="s">
        <v>58</v>
      </c>
      <c r="B13" s="28">
        <v>171127</v>
      </c>
      <c r="C13" s="27" t="s">
        <v>51</v>
      </c>
      <c r="D13" s="55" t="s">
        <v>59</v>
      </c>
      <c r="E13" s="26">
        <v>7814</v>
      </c>
      <c r="F13" s="26">
        <f>'Analiza 2010'!G7</f>
        <v>1272</v>
      </c>
      <c r="G13" s="26">
        <v>26896</v>
      </c>
      <c r="H13" s="26"/>
      <c r="I13" s="26"/>
      <c r="J13" s="26">
        <f>'Analiza 2010'!S7</f>
        <v>920</v>
      </c>
      <c r="K13" s="26"/>
      <c r="L13" s="26"/>
      <c r="M13" s="26">
        <f>'Analiza 2010'!AB7</f>
        <v>1047</v>
      </c>
      <c r="N13" s="44">
        <f t="shared" si="0"/>
        <v>37949</v>
      </c>
    </row>
    <row r="14" spans="1:14" ht="15">
      <c r="A14" s="47" t="s">
        <v>93</v>
      </c>
      <c r="B14" s="28">
        <v>44955</v>
      </c>
      <c r="C14" s="27" t="s">
        <v>60</v>
      </c>
      <c r="D14" s="55" t="s">
        <v>61</v>
      </c>
      <c r="E14" s="26"/>
      <c r="F14" s="26"/>
      <c r="G14" s="26"/>
      <c r="H14" s="26"/>
      <c r="I14" s="26"/>
      <c r="J14" s="26"/>
      <c r="K14" s="26"/>
      <c r="L14" s="26"/>
      <c r="M14" s="26"/>
      <c r="N14" s="44">
        <f t="shared" si="0"/>
        <v>0</v>
      </c>
    </row>
    <row r="15" spans="1:14" ht="15">
      <c r="A15" s="46"/>
      <c r="B15" s="28"/>
      <c r="C15" s="27" t="s">
        <v>62</v>
      </c>
      <c r="D15" s="55" t="s">
        <v>63</v>
      </c>
      <c r="E15" s="26"/>
      <c r="F15" s="27"/>
      <c r="G15" s="26">
        <f>'Analiza 2010'!J8</f>
        <v>9891</v>
      </c>
      <c r="H15" s="26"/>
      <c r="I15" s="26"/>
      <c r="J15" s="26"/>
      <c r="K15" s="26"/>
      <c r="L15" s="26"/>
      <c r="M15" s="26">
        <f>'Analiza 2010'!AB8</f>
        <v>200</v>
      </c>
      <c r="N15" s="44">
        <f t="shared" si="0"/>
        <v>10091</v>
      </c>
    </row>
    <row r="16" spans="1:14" ht="15">
      <c r="A16" s="47"/>
      <c r="B16" s="28"/>
      <c r="C16" s="27" t="s">
        <v>64</v>
      </c>
      <c r="D16" s="54" t="s">
        <v>36</v>
      </c>
      <c r="E16" s="26">
        <f>'Analiza 2010'!D9</f>
        <v>10259</v>
      </c>
      <c r="F16" s="26">
        <f>'Analiza 2010'!G9</f>
        <v>1658</v>
      </c>
      <c r="G16" s="26">
        <f>'Analiza 2010'!J9</f>
        <v>15885</v>
      </c>
      <c r="H16" s="26"/>
      <c r="I16" s="26"/>
      <c r="J16" s="26"/>
      <c r="K16" s="26"/>
      <c r="L16" s="26"/>
      <c r="M16" s="26">
        <f>'Analiza 2010'!AB9</f>
        <v>225</v>
      </c>
      <c r="N16" s="44">
        <f t="shared" si="0"/>
        <v>28027</v>
      </c>
    </row>
    <row r="17" spans="1:14" ht="15">
      <c r="A17" s="43"/>
      <c r="B17" s="28"/>
      <c r="C17" s="27" t="s">
        <v>65</v>
      </c>
      <c r="D17" s="54" t="s">
        <v>66</v>
      </c>
      <c r="E17" s="26">
        <f>'Analiza 2010'!D10</f>
        <v>5692</v>
      </c>
      <c r="F17" s="26">
        <f>'Analiza 2010'!G10</f>
        <v>922</v>
      </c>
      <c r="G17" s="26">
        <v>14976</v>
      </c>
      <c r="H17" s="26"/>
      <c r="I17" s="26"/>
      <c r="J17" s="26"/>
      <c r="K17" s="26"/>
      <c r="L17" s="26"/>
      <c r="M17" s="26">
        <f>'Analiza 2010'!AB10</f>
        <v>400</v>
      </c>
      <c r="N17" s="44">
        <f t="shared" si="0"/>
        <v>21990</v>
      </c>
    </row>
    <row r="18" spans="1:14" ht="15">
      <c r="A18" s="43"/>
      <c r="B18" s="28"/>
      <c r="C18" s="27" t="s">
        <v>67</v>
      </c>
      <c r="D18" s="54" t="s">
        <v>68</v>
      </c>
      <c r="E18" s="26"/>
      <c r="F18" s="26"/>
      <c r="G18" s="26">
        <f>'Analiza 2010'!J11</f>
        <v>50</v>
      </c>
      <c r="H18" s="26"/>
      <c r="I18" s="26"/>
      <c r="J18" s="26"/>
      <c r="K18" s="26"/>
      <c r="L18" s="26"/>
      <c r="M18" s="26">
        <f>'Analiza 2010'!AB11</f>
        <v>550</v>
      </c>
      <c r="N18" s="44">
        <f t="shared" si="0"/>
        <v>600</v>
      </c>
    </row>
    <row r="19" spans="1:14" ht="15">
      <c r="A19" s="46" t="s">
        <v>69</v>
      </c>
      <c r="B19" s="28"/>
      <c r="C19" s="27" t="s">
        <v>65</v>
      </c>
      <c r="D19" s="54" t="s">
        <v>70</v>
      </c>
      <c r="E19" s="26">
        <f>'Analiza 2010'!D12</f>
        <v>2808</v>
      </c>
      <c r="F19" s="26">
        <f>'Analiza 2010'!G12</f>
        <v>443</v>
      </c>
      <c r="G19" s="26">
        <f>'Analiza 2010'!J12</f>
        <v>9486</v>
      </c>
      <c r="H19" s="26"/>
      <c r="I19" s="26"/>
      <c r="J19" s="26"/>
      <c r="K19" s="26"/>
      <c r="L19" s="26"/>
      <c r="M19" s="26"/>
      <c r="N19" s="44">
        <f t="shared" si="0"/>
        <v>12737</v>
      </c>
    </row>
    <row r="20" spans="1:14" ht="15">
      <c r="A20" s="46"/>
      <c r="B20" s="28"/>
      <c r="C20" s="27" t="s">
        <v>71</v>
      </c>
      <c r="D20" s="54" t="s">
        <v>72</v>
      </c>
      <c r="E20" s="26">
        <v>5667</v>
      </c>
      <c r="F20" s="26">
        <f>'Analiza 2010'!G13</f>
        <v>906</v>
      </c>
      <c r="G20" s="26">
        <v>16139</v>
      </c>
      <c r="H20" s="26"/>
      <c r="I20" s="26"/>
      <c r="J20" s="26"/>
      <c r="K20" s="26"/>
      <c r="L20" s="26"/>
      <c r="M20" s="26">
        <f>'Analiza 2010'!AB13</f>
        <v>905</v>
      </c>
      <c r="N20" s="44">
        <f t="shared" si="0"/>
        <v>23617</v>
      </c>
    </row>
    <row r="21" spans="1:14" ht="15">
      <c r="A21" s="46"/>
      <c r="B21" s="28"/>
      <c r="C21" s="27" t="s">
        <v>71</v>
      </c>
      <c r="D21" s="54" t="s">
        <v>9</v>
      </c>
      <c r="E21" s="26">
        <f>'Analiza 2010'!D15</f>
        <v>10841</v>
      </c>
      <c r="F21" s="26">
        <f>'Analiza 2010'!G15</f>
        <v>1733</v>
      </c>
      <c r="G21" s="26">
        <f>'Analiza 2010'!J15</f>
        <v>10987</v>
      </c>
      <c r="H21" s="26"/>
      <c r="I21" s="26"/>
      <c r="J21" s="26"/>
      <c r="K21" s="26"/>
      <c r="L21" s="26"/>
      <c r="M21" s="26"/>
      <c r="N21" s="44">
        <f t="shared" si="0"/>
        <v>23561</v>
      </c>
    </row>
    <row r="22" spans="1:14" ht="15">
      <c r="A22" s="46"/>
      <c r="B22" s="28"/>
      <c r="C22" s="27" t="s">
        <v>73</v>
      </c>
      <c r="D22" s="54" t="s">
        <v>9</v>
      </c>
      <c r="E22" s="26"/>
      <c r="F22" s="26"/>
      <c r="G22" s="26">
        <f>'Analiza 2010'!J16</f>
        <v>0</v>
      </c>
      <c r="H22" s="26"/>
      <c r="I22" s="26"/>
      <c r="J22" s="26"/>
      <c r="K22" s="26"/>
      <c r="L22" s="26"/>
      <c r="M22" s="26"/>
      <c r="N22" s="44">
        <f t="shared" si="0"/>
        <v>0</v>
      </c>
    </row>
    <row r="23" spans="1:14" ht="15">
      <c r="A23" s="46"/>
      <c r="B23" s="28"/>
      <c r="C23" s="27" t="s">
        <v>47</v>
      </c>
      <c r="D23" s="54" t="s">
        <v>11</v>
      </c>
      <c r="E23" s="26">
        <f>'Analiza 2010'!D18</f>
        <v>1170</v>
      </c>
      <c r="F23" s="26">
        <f>'Analiza 2010'!G18</f>
        <v>192</v>
      </c>
      <c r="G23" s="26">
        <f>'Analiza 2010'!J18</f>
        <v>87</v>
      </c>
      <c r="H23" s="26"/>
      <c r="I23" s="26"/>
      <c r="J23" s="26"/>
      <c r="K23" s="26"/>
      <c r="L23" s="26"/>
      <c r="M23" s="26">
        <f>'Analiza 2010'!AB18</f>
        <v>3439</v>
      </c>
      <c r="N23" s="44">
        <f t="shared" si="0"/>
        <v>4888</v>
      </c>
    </row>
    <row r="24" spans="1:14" ht="15">
      <c r="A24" s="46"/>
      <c r="B24" s="28"/>
      <c r="C24" s="27" t="s">
        <v>71</v>
      </c>
      <c r="D24" s="54" t="s">
        <v>75</v>
      </c>
      <c r="E24" s="26">
        <f>'Analiza 2010'!D17</f>
        <v>5668</v>
      </c>
      <c r="F24" s="26">
        <f>'Analiza 2010'!G17</f>
        <v>915</v>
      </c>
      <c r="G24" s="26">
        <f>'Analiza 2010'!J17</f>
        <v>2841</v>
      </c>
      <c r="H24" s="26"/>
      <c r="I24" s="26"/>
      <c r="J24" s="26"/>
      <c r="K24" s="26"/>
      <c r="L24" s="26"/>
      <c r="M24" s="26">
        <f>'Analiza 2010'!AB17</f>
        <v>1168</v>
      </c>
      <c r="N24" s="44">
        <f t="shared" si="0"/>
        <v>10592</v>
      </c>
    </row>
    <row r="25" spans="1:14" ht="15">
      <c r="A25" s="103"/>
      <c r="B25" s="28"/>
      <c r="C25" s="27" t="s">
        <v>52</v>
      </c>
      <c r="D25" s="54" t="s">
        <v>76</v>
      </c>
      <c r="E25" s="26">
        <f>'Analiza 2010'!D19</f>
        <v>33450</v>
      </c>
      <c r="F25" s="26">
        <f>'Analiza 2010'!G19</f>
        <v>5312</v>
      </c>
      <c r="G25" s="26">
        <f>'Analiza 2010'!J19</f>
        <v>42560</v>
      </c>
      <c r="H25" s="26"/>
      <c r="I25" s="26"/>
      <c r="J25" s="26">
        <f>'Analiza 2010'!S19</f>
        <v>10</v>
      </c>
      <c r="K25" s="26"/>
      <c r="L25" s="26"/>
      <c r="M25" s="26">
        <f>'Analiza 2010'!AB19</f>
        <v>2724</v>
      </c>
      <c r="N25" s="44">
        <f t="shared" si="0"/>
        <v>84056</v>
      </c>
    </row>
    <row r="26" spans="1:14" ht="15">
      <c r="A26" s="48"/>
      <c r="B26" s="28"/>
      <c r="C26" s="27" t="s">
        <v>79</v>
      </c>
      <c r="D26" s="54" t="s">
        <v>80</v>
      </c>
      <c r="E26" s="27"/>
      <c r="F26" s="27"/>
      <c r="G26" s="27"/>
      <c r="H26" s="26">
        <f>'Analiza 2010'!M31</f>
        <v>3500</v>
      </c>
      <c r="I26" s="26"/>
      <c r="J26" s="26"/>
      <c r="K26" s="26"/>
      <c r="L26" s="26"/>
      <c r="M26" s="26"/>
      <c r="N26" s="44">
        <f t="shared" si="0"/>
        <v>3500</v>
      </c>
    </row>
    <row r="27" spans="1:14" ht="15">
      <c r="A27" s="48"/>
      <c r="B27" s="25"/>
      <c r="C27" s="27" t="s">
        <v>52</v>
      </c>
      <c r="D27" s="54" t="s">
        <v>81</v>
      </c>
      <c r="E27" s="26">
        <f>'Analiza 2010'!D32</f>
        <v>475</v>
      </c>
      <c r="F27" s="26">
        <f>'Analiza 2010'!G32</f>
        <v>77</v>
      </c>
      <c r="G27" s="26">
        <f>'Analiza 2010'!J32</f>
        <v>41242</v>
      </c>
      <c r="H27" s="26"/>
      <c r="I27" s="26"/>
      <c r="J27" s="26"/>
      <c r="K27" s="26"/>
      <c r="L27" s="26"/>
      <c r="M27" s="26"/>
      <c r="N27" s="44">
        <f t="shared" si="0"/>
        <v>41794</v>
      </c>
    </row>
    <row r="28" spans="1:14" ht="15">
      <c r="A28" s="48"/>
      <c r="B28" s="25"/>
      <c r="C28" s="27" t="s">
        <v>52</v>
      </c>
      <c r="D28" s="54" t="s">
        <v>82</v>
      </c>
      <c r="E28" s="26"/>
      <c r="F28" s="26"/>
      <c r="G28" s="26">
        <f>'Analiza 2010'!J33</f>
        <v>4140</v>
      </c>
      <c r="H28" s="26"/>
      <c r="I28" s="26"/>
      <c r="J28" s="26"/>
      <c r="K28" s="26"/>
      <c r="L28" s="26"/>
      <c r="M28" s="26"/>
      <c r="N28" s="44">
        <f t="shared" si="0"/>
        <v>4140</v>
      </c>
    </row>
    <row r="29" spans="1:14" ht="15">
      <c r="A29" s="48"/>
      <c r="B29" s="25"/>
      <c r="C29" s="27" t="s">
        <v>47</v>
      </c>
      <c r="D29" s="54" t="s">
        <v>86</v>
      </c>
      <c r="E29" s="27"/>
      <c r="F29" s="27"/>
      <c r="G29" s="27"/>
      <c r="H29" s="26"/>
      <c r="I29" s="26">
        <f>'Analiza 2010'!P37</f>
        <v>6000</v>
      </c>
      <c r="J29" s="26"/>
      <c r="K29" s="26"/>
      <c r="L29" s="26"/>
      <c r="M29" s="26"/>
      <c r="N29" s="44">
        <f t="shared" si="0"/>
        <v>6000</v>
      </c>
    </row>
    <row r="30" spans="1:14" ht="15">
      <c r="A30" s="48"/>
      <c r="B30" s="25"/>
      <c r="C30" s="27" t="s">
        <v>47</v>
      </c>
      <c r="D30" s="54" t="s">
        <v>140</v>
      </c>
      <c r="E30" s="27"/>
      <c r="F30" s="27"/>
      <c r="G30" s="27"/>
      <c r="H30" s="26"/>
      <c r="I30" s="26">
        <v>300</v>
      </c>
      <c r="J30" s="26"/>
      <c r="K30" s="26"/>
      <c r="L30" s="26"/>
      <c r="M30" s="26"/>
      <c r="N30" s="44">
        <f t="shared" si="0"/>
        <v>300</v>
      </c>
    </row>
    <row r="31" spans="1:14" ht="15">
      <c r="A31" s="48"/>
      <c r="B31" s="25"/>
      <c r="C31" s="27" t="s">
        <v>87</v>
      </c>
      <c r="D31" s="54" t="s">
        <v>37</v>
      </c>
      <c r="E31" s="27"/>
      <c r="F31" s="27"/>
      <c r="G31" s="26">
        <v>370</v>
      </c>
      <c r="H31" s="26"/>
      <c r="I31" s="26"/>
      <c r="J31" s="26"/>
      <c r="K31" s="26"/>
      <c r="L31" s="26"/>
      <c r="M31" s="26"/>
      <c r="N31" s="44">
        <f t="shared" si="0"/>
        <v>370</v>
      </c>
    </row>
    <row r="32" spans="1:14" ht="15.75" thickBot="1">
      <c r="A32" s="23"/>
      <c r="B32" s="49"/>
      <c r="C32" s="56" t="s">
        <v>87</v>
      </c>
      <c r="D32" s="57" t="s">
        <v>88</v>
      </c>
      <c r="E32" s="56"/>
      <c r="F32" s="56"/>
      <c r="G32" s="58">
        <v>560</v>
      </c>
      <c r="H32" s="58"/>
      <c r="I32" s="58"/>
      <c r="J32" s="58"/>
      <c r="K32" s="58"/>
      <c r="L32" s="58"/>
      <c r="M32" s="58"/>
      <c r="N32" s="59">
        <f t="shared" si="0"/>
        <v>560</v>
      </c>
    </row>
    <row r="33" spans="1:14" ht="15.75" thickBot="1">
      <c r="A33" s="201" t="s">
        <v>89</v>
      </c>
      <c r="B33" s="202">
        <f>SUM(B6:B29)</f>
        <v>594129</v>
      </c>
      <c r="C33" s="203"/>
      <c r="D33" s="204" t="s">
        <v>90</v>
      </c>
      <c r="E33" s="205">
        <f aca="true" t="shared" si="1" ref="E33:N33">SUM(E6:E32)</f>
        <v>159140</v>
      </c>
      <c r="F33" s="205">
        <f t="shared" si="1"/>
        <v>25635</v>
      </c>
      <c r="G33" s="205">
        <f t="shared" si="1"/>
        <v>239521</v>
      </c>
      <c r="H33" s="205">
        <f t="shared" si="1"/>
        <v>3500</v>
      </c>
      <c r="I33" s="205">
        <f t="shared" si="1"/>
        <v>8787</v>
      </c>
      <c r="J33" s="205">
        <f t="shared" si="1"/>
        <v>1680</v>
      </c>
      <c r="K33" s="205">
        <f t="shared" si="1"/>
        <v>0</v>
      </c>
      <c r="L33" s="205">
        <f t="shared" si="1"/>
        <v>5188</v>
      </c>
      <c r="M33" s="205">
        <f t="shared" si="1"/>
        <v>73943</v>
      </c>
      <c r="N33" s="206">
        <f t="shared" si="1"/>
        <v>517394</v>
      </c>
    </row>
    <row r="34" spans="1:14" ht="15.75">
      <c r="A34" s="35" t="s">
        <v>31</v>
      </c>
      <c r="B34" s="37"/>
      <c r="C34" s="37"/>
      <c r="D34" s="37"/>
      <c r="E34" s="37"/>
      <c r="F34" s="37"/>
      <c r="G34" s="37"/>
      <c r="H34" s="37"/>
      <c r="I34" s="37" t="s">
        <v>32</v>
      </c>
      <c r="J34" s="37"/>
      <c r="K34" s="37"/>
      <c r="L34" s="37"/>
      <c r="M34" s="36"/>
      <c r="N34" s="38"/>
    </row>
    <row r="35" spans="1:11" ht="15">
      <c r="A35" s="4" t="s">
        <v>33</v>
      </c>
      <c r="B35" s="4"/>
      <c r="C35" s="4"/>
      <c r="D35" s="4"/>
      <c r="E35" s="4"/>
      <c r="F35" s="4"/>
      <c r="G35" s="4"/>
      <c r="H35" s="4"/>
      <c r="I35" s="4" t="s">
        <v>34</v>
      </c>
      <c r="J35" s="4"/>
      <c r="K35" s="4"/>
    </row>
    <row r="36" ht="15">
      <c r="C36" s="139"/>
    </row>
    <row r="37" ht="15">
      <c r="D37" s="80"/>
    </row>
    <row r="38" ht="15">
      <c r="D38" s="80"/>
    </row>
  </sheetData>
  <sheetProtection/>
  <mergeCells count="16">
    <mergeCell ref="A2:B2"/>
    <mergeCell ref="C2:N2"/>
    <mergeCell ref="A3:A4"/>
    <mergeCell ref="B3:B4"/>
    <mergeCell ref="E3:G3"/>
    <mergeCell ref="I3:N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2" right="0.26" top="0.17" bottom="0.17" header="0.17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44"/>
  <sheetViews>
    <sheetView zoomScalePageLayoutView="0" workbookViewId="0" topLeftCell="N10">
      <selection activeCell="AC21" sqref="AC21"/>
    </sheetView>
  </sheetViews>
  <sheetFormatPr defaultColWidth="9.140625" defaultRowHeight="15"/>
  <cols>
    <col min="1" max="1" width="2.7109375" style="0" customWidth="1"/>
    <col min="2" max="2" width="18.140625" style="0" customWidth="1"/>
    <col min="3" max="4" width="7.57421875" style="0" bestFit="1" customWidth="1"/>
    <col min="5" max="5" width="7.57421875" style="0" customWidth="1"/>
    <col min="6" max="6" width="7.140625" style="0" bestFit="1" customWidth="1"/>
    <col min="7" max="8" width="6.421875" style="0" customWidth="1"/>
    <col min="9" max="9" width="7.8515625" style="0" bestFit="1" customWidth="1"/>
    <col min="10" max="10" width="7.57421875" style="0" bestFit="1" customWidth="1"/>
    <col min="11" max="11" width="7.57421875" style="0" customWidth="1"/>
    <col min="12" max="12" width="6.28125" style="0" customWidth="1"/>
    <col min="13" max="13" width="8.8515625" style="0" customWidth="1"/>
    <col min="14" max="14" width="6.421875" style="0" customWidth="1"/>
    <col min="15" max="15" width="7.140625" style="0" bestFit="1" customWidth="1"/>
    <col min="16" max="16" width="8.7109375" style="0" customWidth="1"/>
    <col min="17" max="17" width="6.57421875" style="0" customWidth="1"/>
    <col min="18" max="18" width="7.00390625" style="0" customWidth="1"/>
    <col min="19" max="19" width="8.7109375" style="0" customWidth="1"/>
    <col min="20" max="20" width="5.57421875" style="0" customWidth="1"/>
    <col min="21" max="21" width="5.421875" style="0" customWidth="1"/>
    <col min="22" max="22" width="7.8515625" style="0" customWidth="1"/>
    <col min="23" max="23" width="5.28125" style="0" customWidth="1"/>
    <col min="24" max="24" width="6.421875" style="0" customWidth="1"/>
    <col min="25" max="25" width="9.00390625" style="0" customWidth="1"/>
    <col min="26" max="26" width="6.00390625" style="0" customWidth="1"/>
    <col min="27" max="27" width="6.57421875" style="0" customWidth="1"/>
    <col min="28" max="28" width="8.7109375" style="0" customWidth="1"/>
    <col min="29" max="29" width="7.140625" style="0" customWidth="1"/>
    <col min="30" max="30" width="7.8515625" style="0" bestFit="1" customWidth="1"/>
    <col min="31" max="31" width="7.57421875" style="0" bestFit="1" customWidth="1"/>
  </cols>
  <sheetData>
    <row r="1" spans="2:6" ht="15">
      <c r="B1" s="6"/>
      <c r="F1" s="1"/>
    </row>
    <row r="2" spans="2:6" ht="15">
      <c r="B2" s="6"/>
      <c r="F2" s="1"/>
    </row>
    <row r="3" spans="1:31" ht="13.5" customHeight="1" thickBot="1">
      <c r="A3" s="2"/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2" ht="15">
      <c r="A4" s="8" t="s">
        <v>0</v>
      </c>
      <c r="B4" s="9" t="s">
        <v>1</v>
      </c>
      <c r="C4" s="62" t="s">
        <v>35</v>
      </c>
      <c r="D4" s="63" t="s">
        <v>107</v>
      </c>
      <c r="E4" s="64" t="s">
        <v>95</v>
      </c>
      <c r="F4" s="62" t="s">
        <v>35</v>
      </c>
      <c r="G4" s="63" t="s">
        <v>107</v>
      </c>
      <c r="H4" s="64" t="s">
        <v>95</v>
      </c>
      <c r="I4" s="62" t="s">
        <v>35</v>
      </c>
      <c r="J4" s="63" t="s">
        <v>107</v>
      </c>
      <c r="K4" s="64" t="s">
        <v>95</v>
      </c>
      <c r="L4" s="62" t="s">
        <v>35</v>
      </c>
      <c r="M4" s="63" t="s">
        <v>107</v>
      </c>
      <c r="N4" s="64" t="s">
        <v>95</v>
      </c>
      <c r="O4" s="62" t="s">
        <v>35</v>
      </c>
      <c r="P4" s="63" t="s">
        <v>107</v>
      </c>
      <c r="Q4" s="64" t="s">
        <v>95</v>
      </c>
      <c r="R4" s="68" t="s">
        <v>35</v>
      </c>
      <c r="S4" s="63" t="s">
        <v>107</v>
      </c>
      <c r="T4" s="65" t="s">
        <v>95</v>
      </c>
      <c r="U4" s="62" t="s">
        <v>35</v>
      </c>
      <c r="V4" s="63" t="s">
        <v>107</v>
      </c>
      <c r="W4" s="65" t="s">
        <v>95</v>
      </c>
      <c r="X4" s="62" t="s">
        <v>35</v>
      </c>
      <c r="Y4" s="63" t="s">
        <v>107</v>
      </c>
      <c r="Z4" s="65" t="s">
        <v>95</v>
      </c>
      <c r="AA4" s="62" t="s">
        <v>35</v>
      </c>
      <c r="AB4" s="63" t="s">
        <v>107</v>
      </c>
      <c r="AC4" s="65" t="s">
        <v>96</v>
      </c>
      <c r="AD4" s="62" t="s">
        <v>35</v>
      </c>
      <c r="AE4" s="63" t="s">
        <v>107</v>
      </c>
      <c r="AF4" s="107" t="s">
        <v>95</v>
      </c>
    </row>
    <row r="5" spans="1:32" ht="15.75" thickBot="1">
      <c r="A5" s="10"/>
      <c r="B5" s="11"/>
      <c r="C5" s="72">
        <v>600</v>
      </c>
      <c r="D5" s="73"/>
      <c r="E5" s="74"/>
      <c r="F5" s="72">
        <v>601</v>
      </c>
      <c r="G5" s="73"/>
      <c r="H5" s="74"/>
      <c r="I5" s="72">
        <v>602</v>
      </c>
      <c r="J5" s="73"/>
      <c r="K5" s="74"/>
      <c r="L5" s="72">
        <v>603</v>
      </c>
      <c r="M5" s="73"/>
      <c r="N5" s="74"/>
      <c r="O5" s="72">
        <v>604</v>
      </c>
      <c r="P5" s="73"/>
      <c r="Q5" s="74"/>
      <c r="R5" s="78">
        <v>606</v>
      </c>
      <c r="S5" s="73"/>
      <c r="T5" s="79"/>
      <c r="U5" s="72">
        <v>609</v>
      </c>
      <c r="V5" s="73"/>
      <c r="W5" s="79"/>
      <c r="X5" s="72">
        <v>230</v>
      </c>
      <c r="Y5" s="73"/>
      <c r="Z5" s="79"/>
      <c r="AA5" s="72">
        <v>231</v>
      </c>
      <c r="AB5" s="73"/>
      <c r="AC5" s="79"/>
      <c r="AD5" s="72" t="s">
        <v>27</v>
      </c>
      <c r="AE5" s="73"/>
      <c r="AF5" s="66"/>
    </row>
    <row r="6" spans="1:32" s="7" customFormat="1" ht="15">
      <c r="A6" s="50">
        <v>1</v>
      </c>
      <c r="B6" s="182" t="s">
        <v>2</v>
      </c>
      <c r="C6" s="84">
        <v>3952</v>
      </c>
      <c r="D6" s="85">
        <v>3872</v>
      </c>
      <c r="E6" s="109">
        <v>4057</v>
      </c>
      <c r="F6" s="84">
        <v>631</v>
      </c>
      <c r="G6" s="85">
        <v>627</v>
      </c>
      <c r="H6" s="109">
        <v>646</v>
      </c>
      <c r="I6" s="76">
        <v>1547</v>
      </c>
      <c r="J6" s="70">
        <v>1488</v>
      </c>
      <c r="K6" s="71">
        <v>1510</v>
      </c>
      <c r="L6" s="69"/>
      <c r="M6" s="70"/>
      <c r="N6" s="71"/>
      <c r="O6" s="69"/>
      <c r="P6" s="70"/>
      <c r="Q6" s="75"/>
      <c r="R6" s="76"/>
      <c r="S6" s="70"/>
      <c r="T6" s="71"/>
      <c r="U6" s="69"/>
      <c r="V6" s="70"/>
      <c r="W6" s="71"/>
      <c r="X6" s="69"/>
      <c r="Y6" s="70"/>
      <c r="Z6" s="71"/>
      <c r="AA6" s="69"/>
      <c r="AB6" s="70"/>
      <c r="AC6" s="71"/>
      <c r="AD6" s="69">
        <f aca="true" t="shared" si="0" ref="AD6:AD17">C6+F6+I6+L6+O6+R6+U6+X6+AA6</f>
        <v>6130</v>
      </c>
      <c r="AE6" s="70">
        <f>D6+G6+J6+M6+P6+S6+V6+Y6+AB6</f>
        <v>5987</v>
      </c>
      <c r="AF6" s="77">
        <f aca="true" t="shared" si="1" ref="AF6:AF17">E6+H6+K6+N6+Q6+T6+W6+Z6+AC6</f>
        <v>6213</v>
      </c>
    </row>
    <row r="7" spans="1:32" s="7" customFormat="1" ht="15.75" thickBot="1">
      <c r="A7" s="51">
        <v>2</v>
      </c>
      <c r="B7" s="183" t="s">
        <v>3</v>
      </c>
      <c r="C7" s="12">
        <v>8116</v>
      </c>
      <c r="D7" s="13">
        <v>7815</v>
      </c>
      <c r="E7" s="14">
        <v>8505</v>
      </c>
      <c r="F7" s="12">
        <v>1294</v>
      </c>
      <c r="G7" s="13">
        <v>1272</v>
      </c>
      <c r="H7" s="14">
        <v>1353</v>
      </c>
      <c r="I7" s="15">
        <v>30129</v>
      </c>
      <c r="J7" s="13">
        <v>26895</v>
      </c>
      <c r="K7" s="60">
        <v>31550</v>
      </c>
      <c r="L7" s="12"/>
      <c r="M7" s="13"/>
      <c r="N7" s="60"/>
      <c r="O7" s="12"/>
      <c r="P7" s="13"/>
      <c r="Q7" s="14"/>
      <c r="R7" s="15">
        <v>1239</v>
      </c>
      <c r="S7" s="13">
        <v>920</v>
      </c>
      <c r="T7" s="60"/>
      <c r="U7" s="12"/>
      <c r="V7" s="13"/>
      <c r="W7" s="60"/>
      <c r="X7" s="12"/>
      <c r="Y7" s="13"/>
      <c r="Z7" s="60"/>
      <c r="AA7" s="12">
        <v>1900</v>
      </c>
      <c r="AB7" s="13">
        <v>1047</v>
      </c>
      <c r="AC7" s="60">
        <v>980</v>
      </c>
      <c r="AD7" s="12">
        <f t="shared" si="0"/>
        <v>42678</v>
      </c>
      <c r="AE7" s="13">
        <f aca="true" t="shared" si="2" ref="AE7:AE17">D7+G7+J7+M7+P7+S7+V7+Y7+AB7</f>
        <v>37949</v>
      </c>
      <c r="AF7" s="67">
        <f t="shared" si="1"/>
        <v>42388</v>
      </c>
    </row>
    <row r="8" spans="1:32" s="7" customFormat="1" ht="15">
      <c r="A8" s="50">
        <v>3</v>
      </c>
      <c r="B8" s="183" t="s">
        <v>4</v>
      </c>
      <c r="C8" s="12"/>
      <c r="D8" s="13"/>
      <c r="E8" s="14"/>
      <c r="F8" s="12"/>
      <c r="G8" s="13"/>
      <c r="H8" s="14"/>
      <c r="I8" s="15">
        <v>10300</v>
      </c>
      <c r="J8" s="13">
        <v>9891</v>
      </c>
      <c r="K8" s="60">
        <v>7200</v>
      </c>
      <c r="L8" s="12"/>
      <c r="M8" s="13"/>
      <c r="N8" s="60"/>
      <c r="O8" s="12"/>
      <c r="P8" s="13"/>
      <c r="Q8" s="14"/>
      <c r="R8" s="15"/>
      <c r="S8" s="13"/>
      <c r="T8" s="60"/>
      <c r="U8" s="12"/>
      <c r="V8" s="13"/>
      <c r="W8" s="60"/>
      <c r="X8" s="12"/>
      <c r="Y8" s="13"/>
      <c r="Z8" s="60"/>
      <c r="AA8" s="12">
        <v>200</v>
      </c>
      <c r="AB8" s="13">
        <v>200</v>
      </c>
      <c r="AC8" s="60">
        <v>200</v>
      </c>
      <c r="AD8" s="12">
        <f t="shared" si="0"/>
        <v>10500</v>
      </c>
      <c r="AE8" s="13">
        <f t="shared" si="2"/>
        <v>10091</v>
      </c>
      <c r="AF8" s="67">
        <f t="shared" si="1"/>
        <v>7400</v>
      </c>
    </row>
    <row r="9" spans="1:32" s="7" customFormat="1" ht="15.75" thickBot="1">
      <c r="A9" s="51">
        <v>4</v>
      </c>
      <c r="B9" s="183" t="s">
        <v>5</v>
      </c>
      <c r="C9" s="12">
        <v>10696</v>
      </c>
      <c r="D9" s="13">
        <v>10259</v>
      </c>
      <c r="E9" s="14">
        <v>10815</v>
      </c>
      <c r="F9" s="12">
        <v>1710</v>
      </c>
      <c r="G9" s="13">
        <v>1658</v>
      </c>
      <c r="H9" s="14">
        <v>1720</v>
      </c>
      <c r="I9" s="15">
        <v>16600</v>
      </c>
      <c r="J9" s="13">
        <v>15885</v>
      </c>
      <c r="K9" s="60">
        <v>13800</v>
      </c>
      <c r="L9" s="12"/>
      <c r="M9" s="13"/>
      <c r="N9" s="60"/>
      <c r="O9" s="12"/>
      <c r="P9" s="13"/>
      <c r="Q9" s="14"/>
      <c r="R9" s="15"/>
      <c r="S9" s="13"/>
      <c r="T9" s="60"/>
      <c r="U9" s="12"/>
      <c r="V9" s="13"/>
      <c r="W9" s="60"/>
      <c r="X9" s="12"/>
      <c r="Y9" s="13"/>
      <c r="Z9" s="60"/>
      <c r="AA9" s="12">
        <v>225</v>
      </c>
      <c r="AB9" s="13">
        <v>225</v>
      </c>
      <c r="AC9" s="60">
        <v>200</v>
      </c>
      <c r="AD9" s="12">
        <f t="shared" si="0"/>
        <v>29231</v>
      </c>
      <c r="AE9" s="13">
        <f t="shared" si="2"/>
        <v>28027</v>
      </c>
      <c r="AF9" s="67">
        <f t="shared" si="1"/>
        <v>26535</v>
      </c>
    </row>
    <row r="10" spans="1:32" s="7" customFormat="1" ht="15">
      <c r="A10" s="50">
        <v>5</v>
      </c>
      <c r="B10" s="183" t="s">
        <v>6</v>
      </c>
      <c r="C10" s="12">
        <v>5934</v>
      </c>
      <c r="D10" s="13">
        <v>5692</v>
      </c>
      <c r="E10" s="14">
        <v>6174</v>
      </c>
      <c r="F10" s="12">
        <v>943</v>
      </c>
      <c r="G10" s="13">
        <v>922</v>
      </c>
      <c r="H10" s="14">
        <v>982</v>
      </c>
      <c r="I10" s="15">
        <v>15008</v>
      </c>
      <c r="J10" s="13">
        <v>14977</v>
      </c>
      <c r="K10" s="60">
        <f>'[2]SHUMSPORT'!$E$27</f>
        <v>12382</v>
      </c>
      <c r="L10" s="12"/>
      <c r="M10" s="13"/>
      <c r="N10" s="60"/>
      <c r="O10" s="12"/>
      <c r="P10" s="13"/>
      <c r="Q10" s="14"/>
      <c r="R10" s="15"/>
      <c r="S10" s="13"/>
      <c r="T10" s="60"/>
      <c r="U10" s="12"/>
      <c r="V10" s="13"/>
      <c r="W10" s="60"/>
      <c r="X10" s="12"/>
      <c r="Y10" s="13"/>
      <c r="Z10" s="60"/>
      <c r="AA10" s="12">
        <v>400</v>
      </c>
      <c r="AB10" s="13">
        <v>400</v>
      </c>
      <c r="AC10" s="60"/>
      <c r="AD10" s="12">
        <f t="shared" si="0"/>
        <v>22285</v>
      </c>
      <c r="AE10" s="13">
        <f t="shared" si="2"/>
        <v>21991</v>
      </c>
      <c r="AF10" s="67">
        <f t="shared" si="1"/>
        <v>19538</v>
      </c>
    </row>
    <row r="11" spans="1:32" s="7" customFormat="1" ht="15.75" thickBot="1">
      <c r="A11" s="51">
        <v>6</v>
      </c>
      <c r="B11" s="183" t="s">
        <v>15</v>
      </c>
      <c r="C11" s="12"/>
      <c r="D11" s="13"/>
      <c r="E11" s="14"/>
      <c r="F11" s="12"/>
      <c r="G11" s="13"/>
      <c r="H11" s="14"/>
      <c r="I11" s="15">
        <v>50</v>
      </c>
      <c r="J11" s="13">
        <v>50</v>
      </c>
      <c r="K11" s="60"/>
      <c r="L11" s="12"/>
      <c r="M11" s="13"/>
      <c r="N11" s="60"/>
      <c r="O11" s="12"/>
      <c r="P11" s="13"/>
      <c r="Q11" s="14"/>
      <c r="R11" s="15"/>
      <c r="S11" s="13"/>
      <c r="T11" s="60"/>
      <c r="U11" s="12"/>
      <c r="V11" s="13"/>
      <c r="W11" s="60"/>
      <c r="X11" s="12"/>
      <c r="Y11" s="13"/>
      <c r="Z11" s="60"/>
      <c r="AA11" s="12">
        <v>550</v>
      </c>
      <c r="AB11" s="13">
        <v>550</v>
      </c>
      <c r="AC11" s="60">
        <v>600</v>
      </c>
      <c r="AD11" s="12">
        <f t="shared" si="0"/>
        <v>600</v>
      </c>
      <c r="AE11" s="13">
        <f t="shared" si="2"/>
        <v>600</v>
      </c>
      <c r="AF11" s="67">
        <f t="shared" si="1"/>
        <v>600</v>
      </c>
    </row>
    <row r="12" spans="1:32" s="7" customFormat="1" ht="15">
      <c r="A12" s="50">
        <v>7</v>
      </c>
      <c r="B12" s="183" t="s">
        <v>7</v>
      </c>
      <c r="C12" s="12">
        <v>3438</v>
      </c>
      <c r="D12" s="13">
        <v>2808</v>
      </c>
      <c r="E12" s="14">
        <v>3558</v>
      </c>
      <c r="F12" s="12">
        <v>515</v>
      </c>
      <c r="G12" s="13">
        <v>443</v>
      </c>
      <c r="H12" s="14">
        <v>568</v>
      </c>
      <c r="I12" s="15">
        <v>13316</v>
      </c>
      <c r="J12" s="13">
        <v>9486</v>
      </c>
      <c r="K12" s="60">
        <v>10330</v>
      </c>
      <c r="L12" s="12"/>
      <c r="M12" s="13"/>
      <c r="N12" s="60"/>
      <c r="O12" s="12"/>
      <c r="P12" s="13"/>
      <c r="Q12" s="14"/>
      <c r="R12" s="15"/>
      <c r="S12" s="13"/>
      <c r="T12" s="60"/>
      <c r="U12" s="12"/>
      <c r="V12" s="13"/>
      <c r="W12" s="60"/>
      <c r="X12" s="12"/>
      <c r="Y12" s="13"/>
      <c r="Z12" s="60"/>
      <c r="AA12" s="12"/>
      <c r="AB12" s="13"/>
      <c r="AC12" s="60">
        <v>1400</v>
      </c>
      <c r="AD12" s="12">
        <f t="shared" si="0"/>
        <v>17269</v>
      </c>
      <c r="AE12" s="13">
        <f t="shared" si="2"/>
        <v>12737</v>
      </c>
      <c r="AF12" s="67">
        <f t="shared" si="1"/>
        <v>15856</v>
      </c>
    </row>
    <row r="13" spans="1:32" s="7" customFormat="1" ht="15.75" thickBot="1">
      <c r="A13" s="51">
        <v>8</v>
      </c>
      <c r="B13" s="183" t="s">
        <v>8</v>
      </c>
      <c r="C13" s="12">
        <v>5695</v>
      </c>
      <c r="D13" s="13">
        <v>5668</v>
      </c>
      <c r="E13" s="14">
        <v>6256</v>
      </c>
      <c r="F13" s="12">
        <v>908</v>
      </c>
      <c r="G13" s="13">
        <v>906</v>
      </c>
      <c r="H13" s="14">
        <v>995</v>
      </c>
      <c r="I13" s="15">
        <f>17308+500</f>
        <v>17808</v>
      </c>
      <c r="J13" s="13">
        <f>'Analiza 2010 TAB 3'!P13</f>
        <v>16139</v>
      </c>
      <c r="K13" s="60">
        <v>15755</v>
      </c>
      <c r="L13" s="12"/>
      <c r="M13" s="13"/>
      <c r="N13" s="60"/>
      <c r="O13" s="12"/>
      <c r="P13" s="13"/>
      <c r="Q13" s="14"/>
      <c r="R13" s="15"/>
      <c r="S13" s="13"/>
      <c r="T13" s="60"/>
      <c r="U13" s="12"/>
      <c r="V13" s="13"/>
      <c r="W13" s="60"/>
      <c r="X13" s="12"/>
      <c r="Y13" s="13"/>
      <c r="Z13" s="60"/>
      <c r="AA13" s="12">
        <v>1045</v>
      </c>
      <c r="AB13" s="13">
        <v>905</v>
      </c>
      <c r="AC13" s="60">
        <v>630</v>
      </c>
      <c r="AD13" s="12">
        <f t="shared" si="0"/>
        <v>25456</v>
      </c>
      <c r="AE13" s="13">
        <f t="shared" si="2"/>
        <v>23618</v>
      </c>
      <c r="AF13" s="67">
        <f t="shared" si="1"/>
        <v>23636</v>
      </c>
    </row>
    <row r="14" spans="1:32" s="7" customFormat="1" ht="15">
      <c r="A14" s="50">
        <v>9</v>
      </c>
      <c r="B14" s="183" t="s">
        <v>14</v>
      </c>
      <c r="C14" s="12"/>
      <c r="D14" s="13"/>
      <c r="E14" s="14"/>
      <c r="F14" s="12"/>
      <c r="G14" s="13"/>
      <c r="H14" s="14"/>
      <c r="I14" s="15"/>
      <c r="J14" s="13"/>
      <c r="K14" s="60"/>
      <c r="L14" s="12"/>
      <c r="M14" s="13"/>
      <c r="N14" s="60"/>
      <c r="O14" s="12"/>
      <c r="P14" s="13"/>
      <c r="Q14" s="14"/>
      <c r="R14" s="15"/>
      <c r="S14" s="13"/>
      <c r="T14" s="60"/>
      <c r="U14" s="12"/>
      <c r="V14" s="13"/>
      <c r="W14" s="60"/>
      <c r="X14" s="12"/>
      <c r="Y14" s="13"/>
      <c r="Z14" s="60"/>
      <c r="AA14" s="12"/>
      <c r="AB14" s="13"/>
      <c r="AC14" s="60"/>
      <c r="AD14" s="12">
        <f t="shared" si="0"/>
        <v>0</v>
      </c>
      <c r="AE14" s="13">
        <f t="shared" si="2"/>
        <v>0</v>
      </c>
      <c r="AF14" s="67">
        <f t="shared" si="1"/>
        <v>0</v>
      </c>
    </row>
    <row r="15" spans="1:32" s="7" customFormat="1" ht="15.75" thickBot="1">
      <c r="A15" s="51">
        <v>10</v>
      </c>
      <c r="B15" s="183" t="s">
        <v>9</v>
      </c>
      <c r="C15" s="12">
        <v>10891</v>
      </c>
      <c r="D15" s="13">
        <v>10841</v>
      </c>
      <c r="E15" s="14">
        <v>10586</v>
      </c>
      <c r="F15" s="12">
        <v>1735</v>
      </c>
      <c r="G15" s="13">
        <v>1733</v>
      </c>
      <c r="H15" s="14">
        <v>1690</v>
      </c>
      <c r="I15" s="15">
        <v>11581</v>
      </c>
      <c r="J15" s="13">
        <f>10848+139</f>
        <v>10987</v>
      </c>
      <c r="K15" s="60">
        <v>9679</v>
      </c>
      <c r="L15" s="12"/>
      <c r="M15" s="13"/>
      <c r="N15" s="60"/>
      <c r="O15" s="12"/>
      <c r="P15" s="13"/>
      <c r="Q15" s="14"/>
      <c r="R15" s="15"/>
      <c r="S15" s="13"/>
      <c r="T15" s="60"/>
      <c r="U15" s="12"/>
      <c r="V15" s="13"/>
      <c r="W15" s="60"/>
      <c r="X15" s="12"/>
      <c r="Y15" s="13"/>
      <c r="Z15" s="60"/>
      <c r="AA15" s="12"/>
      <c r="AB15" s="13"/>
      <c r="AC15" s="60"/>
      <c r="AD15" s="12">
        <f t="shared" si="0"/>
        <v>24207</v>
      </c>
      <c r="AE15" s="13">
        <f t="shared" si="2"/>
        <v>23561</v>
      </c>
      <c r="AF15" s="67">
        <f t="shared" si="1"/>
        <v>21955</v>
      </c>
    </row>
    <row r="16" spans="1:32" s="7" customFormat="1" ht="15">
      <c r="A16" s="50">
        <v>11</v>
      </c>
      <c r="B16" s="183" t="s">
        <v>99</v>
      </c>
      <c r="C16" s="12"/>
      <c r="D16" s="13"/>
      <c r="E16" s="14"/>
      <c r="F16" s="12"/>
      <c r="G16" s="13"/>
      <c r="H16" s="14"/>
      <c r="I16" s="15"/>
      <c r="J16" s="13"/>
      <c r="K16" s="60"/>
      <c r="L16" s="12"/>
      <c r="M16" s="13"/>
      <c r="N16" s="60"/>
      <c r="O16" s="12"/>
      <c r="P16" s="13"/>
      <c r="Q16" s="14"/>
      <c r="R16" s="15"/>
      <c r="S16" s="13"/>
      <c r="T16" s="60"/>
      <c r="U16" s="12"/>
      <c r="V16" s="13"/>
      <c r="W16" s="60"/>
      <c r="X16" s="12"/>
      <c r="Y16" s="13"/>
      <c r="Z16" s="60"/>
      <c r="AA16" s="12"/>
      <c r="AB16" s="13"/>
      <c r="AC16" s="60"/>
      <c r="AD16" s="12">
        <f t="shared" si="0"/>
        <v>0</v>
      </c>
      <c r="AE16" s="13">
        <f t="shared" si="2"/>
        <v>0</v>
      </c>
      <c r="AF16" s="67">
        <f t="shared" si="1"/>
        <v>0</v>
      </c>
    </row>
    <row r="17" spans="1:32" s="7" customFormat="1" ht="15.75" thickBot="1">
      <c r="A17" s="51">
        <v>12</v>
      </c>
      <c r="B17" s="183" t="s">
        <v>10</v>
      </c>
      <c r="C17" s="12">
        <v>5752</v>
      </c>
      <c r="D17" s="13">
        <v>5668</v>
      </c>
      <c r="E17" s="14">
        <v>5891</v>
      </c>
      <c r="F17" s="12">
        <v>915</v>
      </c>
      <c r="G17" s="13">
        <v>915</v>
      </c>
      <c r="H17" s="14">
        <v>937</v>
      </c>
      <c r="I17" s="15">
        <v>3205</v>
      </c>
      <c r="J17" s="13">
        <v>2841</v>
      </c>
      <c r="K17" s="60">
        <v>2275</v>
      </c>
      <c r="L17" s="12"/>
      <c r="M17" s="13"/>
      <c r="N17" s="60"/>
      <c r="O17" s="12"/>
      <c r="P17" s="13"/>
      <c r="Q17" s="14"/>
      <c r="R17" s="15"/>
      <c r="S17" s="13"/>
      <c r="T17" s="60"/>
      <c r="U17" s="12"/>
      <c r="V17" s="13"/>
      <c r="W17" s="60"/>
      <c r="X17" s="12"/>
      <c r="Y17" s="13"/>
      <c r="Z17" s="60"/>
      <c r="AA17" s="12">
        <v>1500</v>
      </c>
      <c r="AB17" s="13">
        <v>1168</v>
      </c>
      <c r="AC17" s="60">
        <v>1100</v>
      </c>
      <c r="AD17" s="12">
        <f t="shared" si="0"/>
        <v>11372</v>
      </c>
      <c r="AE17" s="13">
        <f t="shared" si="2"/>
        <v>10592</v>
      </c>
      <c r="AF17" s="67">
        <f t="shared" si="1"/>
        <v>10203</v>
      </c>
    </row>
    <row r="18" spans="1:32" s="7" customFormat="1" ht="15">
      <c r="A18" s="50">
        <v>13</v>
      </c>
      <c r="B18" s="183" t="s">
        <v>11</v>
      </c>
      <c r="C18" s="12">
        <v>1204</v>
      </c>
      <c r="D18" s="13">
        <v>1170</v>
      </c>
      <c r="E18" s="14">
        <f>1226+61</f>
        <v>1287</v>
      </c>
      <c r="F18" s="12">
        <v>193</v>
      </c>
      <c r="G18" s="13">
        <v>192</v>
      </c>
      <c r="H18" s="14">
        <v>215</v>
      </c>
      <c r="I18" s="15">
        <v>854</v>
      </c>
      <c r="J18" s="13">
        <v>87</v>
      </c>
      <c r="K18" s="60">
        <v>769</v>
      </c>
      <c r="L18" s="12"/>
      <c r="M18" s="13"/>
      <c r="N18" s="60"/>
      <c r="O18" s="12"/>
      <c r="P18" s="13"/>
      <c r="Q18" s="14"/>
      <c r="R18" s="15"/>
      <c r="S18" s="13"/>
      <c r="T18" s="60"/>
      <c r="U18" s="12"/>
      <c r="V18" s="13"/>
      <c r="W18" s="60"/>
      <c r="X18" s="12"/>
      <c r="Y18" s="13"/>
      <c r="Z18" s="60"/>
      <c r="AA18" s="12">
        <v>4000</v>
      </c>
      <c r="AB18" s="13">
        <v>3439</v>
      </c>
      <c r="AC18" s="60">
        <f>6024+4256</f>
        <v>10280</v>
      </c>
      <c r="AD18" s="12">
        <f>C18+F18+I18+AA18</f>
        <v>6251</v>
      </c>
      <c r="AE18" s="13">
        <f aca="true" t="shared" si="3" ref="AE18:AE26">D18+G18+J18+M18+P18+S18+V18+Y18+AB18</f>
        <v>4888</v>
      </c>
      <c r="AF18" s="67">
        <f aca="true" t="shared" si="4" ref="AF18:AF26">E18+H18+K18+N18+Q18+T18+W18+Z18+AC18</f>
        <v>12551</v>
      </c>
    </row>
    <row r="19" spans="1:32" s="7" customFormat="1" ht="15.75" thickBot="1">
      <c r="A19" s="51">
        <v>14</v>
      </c>
      <c r="B19" s="183" t="s">
        <v>12</v>
      </c>
      <c r="C19" s="12">
        <v>35038</v>
      </c>
      <c r="D19" s="13">
        <v>33450</v>
      </c>
      <c r="E19" s="14">
        <v>36699</v>
      </c>
      <c r="F19" s="12">
        <v>5550</v>
      </c>
      <c r="G19" s="13">
        <v>5312</v>
      </c>
      <c r="H19" s="14">
        <v>5700</v>
      </c>
      <c r="I19" s="15">
        <v>50132</v>
      </c>
      <c r="J19" s="13">
        <f>'[3]Shp op NSHPpl 11 12m  (2)'!$D$53-138</f>
        <v>42560</v>
      </c>
      <c r="K19" s="60">
        <v>53013</v>
      </c>
      <c r="L19" s="12"/>
      <c r="M19" s="13"/>
      <c r="N19" s="60"/>
      <c r="O19" s="12"/>
      <c r="P19" s="13"/>
      <c r="Q19" s="14"/>
      <c r="R19" s="15">
        <v>10</v>
      </c>
      <c r="S19" s="13">
        <v>10</v>
      </c>
      <c r="T19" s="60"/>
      <c r="U19" s="12"/>
      <c r="V19" s="13"/>
      <c r="W19" s="60"/>
      <c r="X19" s="12"/>
      <c r="Y19" s="13"/>
      <c r="Z19" s="60"/>
      <c r="AA19" s="12">
        <f>1522+400+480+190+179</f>
        <v>2771</v>
      </c>
      <c r="AB19" s="13">
        <v>2724</v>
      </c>
      <c r="AC19" s="60">
        <v>4318</v>
      </c>
      <c r="AD19" s="12">
        <f aca="true" t="shared" si="5" ref="AD19:AD40">C19+F19+I19+L19+O19+R19+U19+X19+AA19</f>
        <v>93501</v>
      </c>
      <c r="AE19" s="13">
        <f t="shared" si="3"/>
        <v>84056</v>
      </c>
      <c r="AF19" s="67">
        <f t="shared" si="4"/>
        <v>99730</v>
      </c>
    </row>
    <row r="20" spans="1:32" s="7" customFormat="1" ht="15">
      <c r="A20" s="50">
        <v>15</v>
      </c>
      <c r="B20" s="183" t="s">
        <v>16</v>
      </c>
      <c r="C20" s="12"/>
      <c r="D20" s="13"/>
      <c r="E20" s="14"/>
      <c r="F20" s="12"/>
      <c r="G20" s="13"/>
      <c r="H20" s="14"/>
      <c r="I20" s="15"/>
      <c r="J20" s="13"/>
      <c r="K20" s="60"/>
      <c r="L20" s="12"/>
      <c r="M20" s="13"/>
      <c r="N20" s="60"/>
      <c r="O20" s="12"/>
      <c r="P20" s="13"/>
      <c r="Q20" s="14"/>
      <c r="R20" s="15"/>
      <c r="S20" s="13"/>
      <c r="T20" s="60"/>
      <c r="U20" s="12"/>
      <c r="V20" s="13"/>
      <c r="W20" s="60"/>
      <c r="X20" s="12"/>
      <c r="Y20" s="13"/>
      <c r="Z20" s="60"/>
      <c r="AA20" s="12"/>
      <c r="AB20" s="13"/>
      <c r="AC20" s="60"/>
      <c r="AD20" s="12">
        <f t="shared" si="5"/>
        <v>0</v>
      </c>
      <c r="AE20" s="13">
        <f t="shared" si="3"/>
        <v>0</v>
      </c>
      <c r="AF20" s="67">
        <f t="shared" si="4"/>
        <v>0</v>
      </c>
    </row>
    <row r="21" spans="1:32" s="7" customFormat="1" ht="15.75" thickBot="1">
      <c r="A21" s="51">
        <v>16</v>
      </c>
      <c r="B21" s="183" t="s">
        <v>28</v>
      </c>
      <c r="C21" s="12">
        <f>'Analiza 2010 TAB 3'!C21</f>
        <v>75014</v>
      </c>
      <c r="D21" s="13">
        <v>71424</v>
      </c>
      <c r="E21" s="14">
        <f>78886-4</f>
        <v>78882</v>
      </c>
      <c r="F21" s="12">
        <v>12152</v>
      </c>
      <c r="G21" s="13">
        <v>11578</v>
      </c>
      <c r="H21" s="14">
        <v>12590</v>
      </c>
      <c r="I21" s="15">
        <f>47190-500</f>
        <v>46690</v>
      </c>
      <c r="J21" s="13">
        <f>'[1]Pl 2011'!$D$60-645</f>
        <v>36448</v>
      </c>
      <c r="K21" s="106">
        <v>48581</v>
      </c>
      <c r="L21" s="12"/>
      <c r="M21" s="13"/>
      <c r="N21" s="60"/>
      <c r="O21" s="12">
        <v>7287</v>
      </c>
      <c r="P21" s="13">
        <f>3087-800+200</f>
        <v>2487</v>
      </c>
      <c r="Q21" s="14">
        <f>4100+6580+400</f>
        <v>11080</v>
      </c>
      <c r="R21" s="15">
        <v>750</v>
      </c>
      <c r="S21" s="13">
        <v>750</v>
      </c>
      <c r="T21" s="60">
        <v>660</v>
      </c>
      <c r="U21" s="12"/>
      <c r="V21" s="13"/>
      <c r="W21" s="60"/>
      <c r="X21" s="12">
        <v>10500</v>
      </c>
      <c r="Y21" s="13">
        <v>5188</v>
      </c>
      <c r="Z21" s="60"/>
      <c r="AA21" s="12">
        <v>2626</v>
      </c>
      <c r="AB21" s="13">
        <v>1314</v>
      </c>
      <c r="AC21" s="60">
        <v>2170</v>
      </c>
      <c r="AD21" s="12">
        <f t="shared" si="5"/>
        <v>155019</v>
      </c>
      <c r="AE21" s="13">
        <f t="shared" si="3"/>
        <v>129189</v>
      </c>
      <c r="AF21" s="67">
        <f t="shared" si="4"/>
        <v>153963</v>
      </c>
    </row>
    <row r="22" spans="1:32" s="7" customFormat="1" ht="15">
      <c r="A22" s="50">
        <v>17</v>
      </c>
      <c r="B22" s="183" t="s">
        <v>102</v>
      </c>
      <c r="C22" s="12"/>
      <c r="D22" s="13"/>
      <c r="E22" s="14"/>
      <c r="F22" s="12"/>
      <c r="G22" s="13"/>
      <c r="H22" s="14"/>
      <c r="I22" s="15">
        <v>645</v>
      </c>
      <c r="J22" s="13">
        <v>645</v>
      </c>
      <c r="K22" s="60">
        <v>3057</v>
      </c>
      <c r="L22" s="12"/>
      <c r="M22" s="13"/>
      <c r="N22" s="60"/>
      <c r="O22" s="12"/>
      <c r="P22" s="13"/>
      <c r="Q22" s="14"/>
      <c r="R22" s="15"/>
      <c r="S22" s="13"/>
      <c r="T22" s="60"/>
      <c r="U22" s="12"/>
      <c r="V22" s="13"/>
      <c r="W22" s="60"/>
      <c r="X22" s="12"/>
      <c r="Y22" s="13"/>
      <c r="Z22" s="60"/>
      <c r="AA22" s="12"/>
      <c r="AB22" s="13"/>
      <c r="AC22" s="60"/>
      <c r="AD22" s="12">
        <f t="shared" si="5"/>
        <v>645</v>
      </c>
      <c r="AE22" s="13">
        <f t="shared" si="3"/>
        <v>645</v>
      </c>
      <c r="AF22" s="67">
        <f t="shared" si="4"/>
        <v>3057</v>
      </c>
    </row>
    <row r="23" spans="1:32" s="7" customFormat="1" ht="15.75" thickBot="1">
      <c r="A23" s="51">
        <v>18</v>
      </c>
      <c r="B23" s="184" t="s">
        <v>101</v>
      </c>
      <c r="C23" s="12"/>
      <c r="D23" s="13"/>
      <c r="E23" s="14"/>
      <c r="F23" s="12"/>
      <c r="G23" s="13"/>
      <c r="H23" s="14"/>
      <c r="I23" s="15"/>
      <c r="J23" s="13"/>
      <c r="K23" s="60"/>
      <c r="L23" s="12"/>
      <c r="M23" s="13"/>
      <c r="N23" s="60"/>
      <c r="O23" s="12"/>
      <c r="P23" s="13"/>
      <c r="Q23" s="14"/>
      <c r="R23" s="15"/>
      <c r="S23" s="13"/>
      <c r="T23" s="60"/>
      <c r="U23" s="12"/>
      <c r="V23" s="13"/>
      <c r="W23" s="60"/>
      <c r="X23" s="12"/>
      <c r="Y23" s="13"/>
      <c r="Z23" s="60"/>
      <c r="AA23" s="12"/>
      <c r="AB23" s="13"/>
      <c r="AC23" s="60"/>
      <c r="AD23" s="12">
        <f t="shared" si="5"/>
        <v>0</v>
      </c>
      <c r="AE23" s="13">
        <f t="shared" si="3"/>
        <v>0</v>
      </c>
      <c r="AF23" s="67">
        <f t="shared" si="4"/>
        <v>0</v>
      </c>
    </row>
    <row r="24" spans="1:32" s="7" customFormat="1" ht="15">
      <c r="A24" s="50">
        <v>19</v>
      </c>
      <c r="B24" s="184" t="s">
        <v>94</v>
      </c>
      <c r="C24" s="12"/>
      <c r="D24" s="13"/>
      <c r="E24" s="14"/>
      <c r="F24" s="12"/>
      <c r="G24" s="13"/>
      <c r="H24" s="14"/>
      <c r="I24" s="15"/>
      <c r="J24" s="13"/>
      <c r="K24" s="60"/>
      <c r="L24" s="12"/>
      <c r="M24" s="13"/>
      <c r="N24" s="60"/>
      <c r="O24" s="12"/>
      <c r="P24" s="13"/>
      <c r="Q24" s="14"/>
      <c r="R24" s="15"/>
      <c r="S24" s="13"/>
      <c r="T24" s="60"/>
      <c r="U24" s="12"/>
      <c r="V24" s="13"/>
      <c r="W24" s="60"/>
      <c r="X24" s="12"/>
      <c r="Y24" s="13"/>
      <c r="Z24" s="60"/>
      <c r="AA24" s="12"/>
      <c r="AB24" s="13"/>
      <c r="AC24" s="60"/>
      <c r="AD24" s="12">
        <f t="shared" si="5"/>
        <v>0</v>
      </c>
      <c r="AE24" s="13">
        <f t="shared" si="3"/>
        <v>0</v>
      </c>
      <c r="AF24" s="67">
        <f t="shared" si="4"/>
        <v>0</v>
      </c>
    </row>
    <row r="25" spans="1:32" s="7" customFormat="1" ht="15.75" thickBot="1">
      <c r="A25" s="51">
        <v>20</v>
      </c>
      <c r="B25" s="183" t="s">
        <v>29</v>
      </c>
      <c r="C25" s="12"/>
      <c r="D25" s="13"/>
      <c r="E25" s="14"/>
      <c r="F25" s="12"/>
      <c r="G25" s="105"/>
      <c r="H25" s="14"/>
      <c r="I25" s="15"/>
      <c r="J25" s="13"/>
      <c r="K25" s="60"/>
      <c r="L25" s="12"/>
      <c r="M25" s="13"/>
      <c r="N25" s="60"/>
      <c r="O25" s="12"/>
      <c r="P25" s="13"/>
      <c r="Q25" s="14"/>
      <c r="R25" s="15"/>
      <c r="S25" s="13"/>
      <c r="T25" s="60"/>
      <c r="U25" s="12"/>
      <c r="V25" s="13"/>
      <c r="W25" s="60"/>
      <c r="X25" s="12"/>
      <c r="Y25" s="13"/>
      <c r="Z25" s="60"/>
      <c r="AA25" s="12">
        <v>88796</v>
      </c>
      <c r="AB25" s="13">
        <f>'Analiza 2010 TAB 3'!AZ25</f>
        <v>61024</v>
      </c>
      <c r="AC25" s="60">
        <v>83067</v>
      </c>
      <c r="AD25" s="12">
        <f t="shared" si="5"/>
        <v>88796</v>
      </c>
      <c r="AE25" s="13">
        <f t="shared" si="3"/>
        <v>61024</v>
      </c>
      <c r="AF25" s="67">
        <f t="shared" si="4"/>
        <v>83067</v>
      </c>
    </row>
    <row r="26" spans="1:32" ht="15">
      <c r="A26" s="50">
        <v>21</v>
      </c>
      <c r="B26" s="183" t="s">
        <v>39</v>
      </c>
      <c r="C26" s="12"/>
      <c r="D26" s="13"/>
      <c r="E26" s="14"/>
      <c r="F26" s="12"/>
      <c r="G26" s="13"/>
      <c r="H26" s="14"/>
      <c r="I26" s="15"/>
      <c r="J26" s="13"/>
      <c r="K26" s="60"/>
      <c r="L26" s="18"/>
      <c r="M26" s="17"/>
      <c r="N26" s="61"/>
      <c r="O26" s="18"/>
      <c r="P26" s="17"/>
      <c r="Q26" s="19"/>
      <c r="R26" s="16"/>
      <c r="S26" s="17"/>
      <c r="T26" s="61"/>
      <c r="U26" s="18"/>
      <c r="V26" s="17"/>
      <c r="W26" s="61"/>
      <c r="X26" s="18"/>
      <c r="Y26" s="17"/>
      <c r="Z26" s="61"/>
      <c r="AA26" s="18"/>
      <c r="AB26" s="17"/>
      <c r="AC26" s="61"/>
      <c r="AD26" s="12">
        <f t="shared" si="5"/>
        <v>0</v>
      </c>
      <c r="AE26" s="13">
        <f t="shared" si="3"/>
        <v>0</v>
      </c>
      <c r="AF26" s="67">
        <f t="shared" si="4"/>
        <v>0</v>
      </c>
    </row>
    <row r="27" spans="1:32" ht="15.75" thickBot="1">
      <c r="A27" s="51">
        <v>22</v>
      </c>
      <c r="B27" s="183" t="s">
        <v>105</v>
      </c>
      <c r="C27" s="12"/>
      <c r="D27" s="13"/>
      <c r="E27" s="14"/>
      <c r="F27" s="12"/>
      <c r="G27" s="13"/>
      <c r="H27" s="14"/>
      <c r="I27" s="15"/>
      <c r="J27" s="13"/>
      <c r="K27" s="60"/>
      <c r="L27" s="18"/>
      <c r="M27" s="17"/>
      <c r="N27" s="61"/>
      <c r="O27" s="18"/>
      <c r="P27" s="17"/>
      <c r="Q27" s="19"/>
      <c r="R27" s="16"/>
      <c r="S27" s="17"/>
      <c r="T27" s="61"/>
      <c r="U27" s="18"/>
      <c r="V27" s="17"/>
      <c r="W27" s="61"/>
      <c r="X27" s="18"/>
      <c r="Y27" s="17"/>
      <c r="Z27" s="61"/>
      <c r="AA27" s="18">
        <v>1594</v>
      </c>
      <c r="AB27" s="17">
        <v>947</v>
      </c>
      <c r="AC27" s="61">
        <v>0</v>
      </c>
      <c r="AD27" s="12">
        <f t="shared" si="5"/>
        <v>1594</v>
      </c>
      <c r="AE27" s="13">
        <f aca="true" t="shared" si="6" ref="AE27:AE38">D27+G27+J27+M27+P27+S27+V27+Y27+AB27</f>
        <v>947</v>
      </c>
      <c r="AF27" s="67"/>
    </row>
    <row r="28" spans="1:32" ht="15">
      <c r="A28" s="50">
        <v>23</v>
      </c>
      <c r="B28" s="183" t="s">
        <v>30</v>
      </c>
      <c r="C28" s="12"/>
      <c r="D28" s="13"/>
      <c r="E28" s="14"/>
      <c r="F28" s="12"/>
      <c r="G28" s="13"/>
      <c r="H28" s="14"/>
      <c r="I28" s="15"/>
      <c r="J28" s="13"/>
      <c r="K28" s="60"/>
      <c r="L28" s="18"/>
      <c r="M28" s="17"/>
      <c r="N28" s="61"/>
      <c r="O28" s="18"/>
      <c r="P28" s="17"/>
      <c r="Q28" s="19"/>
      <c r="R28" s="16"/>
      <c r="S28" s="17"/>
      <c r="T28" s="61"/>
      <c r="U28" s="18"/>
      <c r="V28" s="17"/>
      <c r="W28" s="61"/>
      <c r="X28" s="18"/>
      <c r="Y28" s="17"/>
      <c r="Z28" s="61"/>
      <c r="AA28" s="12">
        <v>77</v>
      </c>
      <c r="AB28" s="13">
        <v>0</v>
      </c>
      <c r="AC28" s="60"/>
      <c r="AD28" s="12">
        <f t="shared" si="5"/>
        <v>77</v>
      </c>
      <c r="AE28" s="13">
        <f t="shared" si="6"/>
        <v>0</v>
      </c>
      <c r="AF28" s="67">
        <f aca="true" t="shared" si="7" ref="AF28:AF40">E28+H28+K28+N28+Q28+T28+W28+Z28+AC28</f>
        <v>0</v>
      </c>
    </row>
    <row r="29" spans="1:32" ht="15.75" thickBot="1">
      <c r="A29" s="51">
        <v>24</v>
      </c>
      <c r="B29" s="183" t="s">
        <v>25</v>
      </c>
      <c r="C29" s="12"/>
      <c r="D29" s="13"/>
      <c r="E29" s="14"/>
      <c r="F29" s="12"/>
      <c r="G29" s="13"/>
      <c r="H29" s="14"/>
      <c r="I29" s="15"/>
      <c r="J29" s="13"/>
      <c r="K29" s="60"/>
      <c r="L29" s="18"/>
      <c r="M29" s="17"/>
      <c r="N29" s="61"/>
      <c r="O29" s="18"/>
      <c r="P29" s="17"/>
      <c r="Q29" s="19"/>
      <c r="R29" s="16"/>
      <c r="S29" s="17"/>
      <c r="T29" s="61"/>
      <c r="U29" s="18"/>
      <c r="V29" s="17"/>
      <c r="W29" s="61"/>
      <c r="X29" s="18"/>
      <c r="Y29" s="17"/>
      <c r="Z29" s="61"/>
      <c r="AA29" s="18"/>
      <c r="AB29" s="17"/>
      <c r="AC29" s="61"/>
      <c r="AD29" s="18">
        <f t="shared" si="5"/>
        <v>0</v>
      </c>
      <c r="AE29" s="13">
        <f t="shared" si="6"/>
        <v>0</v>
      </c>
      <c r="AF29" s="67">
        <f t="shared" si="7"/>
        <v>0</v>
      </c>
    </row>
    <row r="30" spans="1:32" ht="15">
      <c r="A30" s="50">
        <v>25</v>
      </c>
      <c r="B30" s="183" t="s">
        <v>17</v>
      </c>
      <c r="C30" s="18"/>
      <c r="D30" s="13"/>
      <c r="E30" s="14"/>
      <c r="F30" s="18"/>
      <c r="G30" s="13"/>
      <c r="H30" s="14"/>
      <c r="I30" s="16">
        <v>4830</v>
      </c>
      <c r="J30" s="13">
        <v>4830</v>
      </c>
      <c r="K30" s="60">
        <v>4830</v>
      </c>
      <c r="L30" s="18"/>
      <c r="M30" s="17"/>
      <c r="N30" s="61"/>
      <c r="O30" s="18"/>
      <c r="P30" s="17"/>
      <c r="Q30" s="19"/>
      <c r="R30" s="16"/>
      <c r="S30" s="17"/>
      <c r="T30" s="61"/>
      <c r="U30" s="18"/>
      <c r="V30" s="17"/>
      <c r="W30" s="61"/>
      <c r="X30" s="18"/>
      <c r="Y30" s="17"/>
      <c r="Z30" s="61"/>
      <c r="AA30" s="18"/>
      <c r="AB30" s="17"/>
      <c r="AC30" s="61"/>
      <c r="AD30" s="18">
        <f t="shared" si="5"/>
        <v>4830</v>
      </c>
      <c r="AE30" s="13">
        <f t="shared" si="6"/>
        <v>4830</v>
      </c>
      <c r="AF30" s="67">
        <f t="shared" si="7"/>
        <v>4830</v>
      </c>
    </row>
    <row r="31" spans="1:32" ht="15.75" thickBot="1">
      <c r="A31" s="51">
        <v>26</v>
      </c>
      <c r="B31" s="183" t="s">
        <v>18</v>
      </c>
      <c r="C31" s="18"/>
      <c r="D31" s="13"/>
      <c r="E31" s="14"/>
      <c r="F31" s="18"/>
      <c r="G31" s="13"/>
      <c r="H31" s="14"/>
      <c r="I31" s="16"/>
      <c r="J31" s="13"/>
      <c r="K31" s="60"/>
      <c r="L31" s="18">
        <v>3500</v>
      </c>
      <c r="M31" s="17">
        <v>3500</v>
      </c>
      <c r="N31" s="61">
        <v>3500</v>
      </c>
      <c r="O31" s="18"/>
      <c r="P31" s="17"/>
      <c r="Q31" s="19"/>
      <c r="R31" s="16"/>
      <c r="S31" s="17"/>
      <c r="T31" s="61"/>
      <c r="U31" s="18"/>
      <c r="V31" s="17"/>
      <c r="W31" s="61"/>
      <c r="X31" s="18"/>
      <c r="Y31" s="17"/>
      <c r="Z31" s="61"/>
      <c r="AA31" s="18"/>
      <c r="AB31" s="17"/>
      <c r="AC31" s="61"/>
      <c r="AD31" s="18">
        <f t="shared" si="5"/>
        <v>3500</v>
      </c>
      <c r="AE31" s="13">
        <f t="shared" si="6"/>
        <v>3500</v>
      </c>
      <c r="AF31" s="67">
        <f t="shared" si="7"/>
        <v>3500</v>
      </c>
    </row>
    <row r="32" spans="1:32" ht="15">
      <c r="A32" s="50">
        <v>27</v>
      </c>
      <c r="B32" s="183" t="s">
        <v>19</v>
      </c>
      <c r="C32" s="18">
        <v>481</v>
      </c>
      <c r="D32" s="13">
        <v>475</v>
      </c>
      <c r="E32" s="14">
        <v>496</v>
      </c>
      <c r="F32" s="18">
        <v>77</v>
      </c>
      <c r="G32" s="13">
        <v>77</v>
      </c>
      <c r="H32" s="14">
        <v>79</v>
      </c>
      <c r="I32" s="16">
        <v>48000</v>
      </c>
      <c r="J32" s="13">
        <v>41242</v>
      </c>
      <c r="K32" s="60">
        <f>59284</f>
        <v>59284</v>
      </c>
      <c r="L32" s="18"/>
      <c r="M32" s="17"/>
      <c r="N32" s="61"/>
      <c r="O32" s="18"/>
      <c r="P32" s="17"/>
      <c r="Q32" s="19"/>
      <c r="R32" s="16"/>
      <c r="S32" s="17"/>
      <c r="T32" s="61"/>
      <c r="U32" s="18"/>
      <c r="V32" s="17"/>
      <c r="W32" s="61"/>
      <c r="X32" s="18"/>
      <c r="Y32" s="17"/>
      <c r="Z32" s="61"/>
      <c r="AA32" s="18"/>
      <c r="AB32" s="17"/>
      <c r="AC32" s="61"/>
      <c r="AD32" s="18">
        <f t="shared" si="5"/>
        <v>48558</v>
      </c>
      <c r="AE32" s="13">
        <f t="shared" si="6"/>
        <v>41794</v>
      </c>
      <c r="AF32" s="67">
        <f t="shared" si="7"/>
        <v>59859</v>
      </c>
    </row>
    <row r="33" spans="1:32" ht="15.75" thickBot="1">
      <c r="A33" s="51">
        <v>28</v>
      </c>
      <c r="B33" s="183" t="s">
        <v>20</v>
      </c>
      <c r="C33" s="18"/>
      <c r="D33" s="13"/>
      <c r="E33" s="14"/>
      <c r="F33" s="18"/>
      <c r="G33" s="13"/>
      <c r="H33" s="14"/>
      <c r="I33" s="16">
        <v>4439</v>
      </c>
      <c r="J33" s="13">
        <v>4140</v>
      </c>
      <c r="K33" s="60">
        <v>4223</v>
      </c>
      <c r="L33" s="18"/>
      <c r="M33" s="17"/>
      <c r="N33" s="61"/>
      <c r="O33" s="18"/>
      <c r="P33" s="17"/>
      <c r="Q33" s="19"/>
      <c r="R33" s="16"/>
      <c r="S33" s="17"/>
      <c r="T33" s="61"/>
      <c r="U33" s="18"/>
      <c r="V33" s="17"/>
      <c r="W33" s="61"/>
      <c r="X33" s="18"/>
      <c r="Y33" s="17"/>
      <c r="Z33" s="61"/>
      <c r="AA33" s="18"/>
      <c r="AB33" s="17"/>
      <c r="AC33" s="61"/>
      <c r="AD33" s="18">
        <f t="shared" si="5"/>
        <v>4439</v>
      </c>
      <c r="AE33" s="13">
        <f t="shared" si="6"/>
        <v>4140</v>
      </c>
      <c r="AF33" s="67">
        <f t="shared" si="7"/>
        <v>4223</v>
      </c>
    </row>
    <row r="34" spans="1:32" ht="15">
      <c r="A34" s="50">
        <v>29</v>
      </c>
      <c r="B34" s="183" t="s">
        <v>21</v>
      </c>
      <c r="C34" s="18"/>
      <c r="D34" s="13"/>
      <c r="E34" s="14"/>
      <c r="F34" s="18"/>
      <c r="G34" s="13"/>
      <c r="H34" s="14"/>
      <c r="I34" s="16"/>
      <c r="J34" s="13"/>
      <c r="K34" s="60"/>
      <c r="L34" s="18"/>
      <c r="M34" s="17"/>
      <c r="N34" s="61"/>
      <c r="O34" s="18"/>
      <c r="P34" s="17"/>
      <c r="Q34" s="19"/>
      <c r="R34" s="16"/>
      <c r="S34" s="17"/>
      <c r="T34" s="61"/>
      <c r="U34" s="12">
        <v>7110</v>
      </c>
      <c r="V34" s="13">
        <v>311</v>
      </c>
      <c r="W34" s="60">
        <v>3000</v>
      </c>
      <c r="X34" s="18"/>
      <c r="Y34" s="17"/>
      <c r="Z34" s="61"/>
      <c r="AA34" s="18"/>
      <c r="AB34" s="17"/>
      <c r="AC34" s="61"/>
      <c r="AD34" s="18">
        <f t="shared" si="5"/>
        <v>7110</v>
      </c>
      <c r="AE34" s="13">
        <f t="shared" si="6"/>
        <v>311</v>
      </c>
      <c r="AF34" s="67">
        <f t="shared" si="7"/>
        <v>3000</v>
      </c>
    </row>
    <row r="35" spans="1:32" ht="15.75" thickBot="1">
      <c r="A35" s="51">
        <v>30</v>
      </c>
      <c r="B35" s="183" t="s">
        <v>22</v>
      </c>
      <c r="C35" s="18"/>
      <c r="D35" s="13"/>
      <c r="E35" s="14"/>
      <c r="F35" s="18"/>
      <c r="G35" s="13"/>
      <c r="H35" s="14"/>
      <c r="I35" s="16"/>
      <c r="J35" s="13"/>
      <c r="K35" s="60"/>
      <c r="L35" s="18"/>
      <c r="M35" s="17"/>
      <c r="N35" s="61"/>
      <c r="O35" s="18"/>
      <c r="P35" s="17"/>
      <c r="Q35" s="19"/>
      <c r="R35" s="16"/>
      <c r="S35" s="17"/>
      <c r="T35" s="61"/>
      <c r="U35" s="18">
        <v>1000</v>
      </c>
      <c r="V35" s="17">
        <v>0</v>
      </c>
      <c r="W35" s="61">
        <v>1000</v>
      </c>
      <c r="X35" s="18"/>
      <c r="Y35" s="17"/>
      <c r="Z35" s="61"/>
      <c r="AA35" s="18"/>
      <c r="AB35" s="17"/>
      <c r="AC35" s="61"/>
      <c r="AD35" s="18">
        <f t="shared" si="5"/>
        <v>1000</v>
      </c>
      <c r="AE35" s="13">
        <f t="shared" si="6"/>
        <v>0</v>
      </c>
      <c r="AF35" s="67">
        <f t="shared" si="7"/>
        <v>1000</v>
      </c>
    </row>
    <row r="36" spans="1:32" ht="15">
      <c r="A36" s="50">
        <v>31</v>
      </c>
      <c r="B36" s="183" t="s">
        <v>23</v>
      </c>
      <c r="C36" s="18"/>
      <c r="D36" s="13"/>
      <c r="E36" s="14"/>
      <c r="F36" s="18"/>
      <c r="G36" s="13"/>
      <c r="H36" s="14"/>
      <c r="I36" s="16"/>
      <c r="J36" s="13"/>
      <c r="K36" s="60"/>
      <c r="L36" s="18"/>
      <c r="M36" s="17"/>
      <c r="N36" s="61"/>
      <c r="O36" s="18"/>
      <c r="P36" s="17"/>
      <c r="Q36" s="19"/>
      <c r="R36" s="16">
        <v>500</v>
      </c>
      <c r="S36" s="17"/>
      <c r="T36" s="61">
        <v>500</v>
      </c>
      <c r="U36" s="18"/>
      <c r="V36" s="17"/>
      <c r="W36" s="61"/>
      <c r="X36" s="18"/>
      <c r="Y36" s="17"/>
      <c r="Z36" s="61"/>
      <c r="AA36" s="18"/>
      <c r="AB36" s="17"/>
      <c r="AC36" s="61"/>
      <c r="AD36" s="18">
        <f t="shared" si="5"/>
        <v>500</v>
      </c>
      <c r="AE36" s="13">
        <f t="shared" si="6"/>
        <v>0</v>
      </c>
      <c r="AF36" s="67">
        <f t="shared" si="7"/>
        <v>500</v>
      </c>
    </row>
    <row r="37" spans="1:32" ht="15.75" thickBot="1">
      <c r="A37" s="51">
        <v>32</v>
      </c>
      <c r="B37" s="183" t="s">
        <v>24</v>
      </c>
      <c r="C37" s="18"/>
      <c r="D37" s="13"/>
      <c r="E37" s="14"/>
      <c r="F37" s="18"/>
      <c r="G37" s="13"/>
      <c r="H37" s="14"/>
      <c r="I37" s="16"/>
      <c r="J37" s="13"/>
      <c r="K37" s="60"/>
      <c r="L37" s="18"/>
      <c r="M37" s="17"/>
      <c r="N37" s="61"/>
      <c r="O37" s="18">
        <v>6000</v>
      </c>
      <c r="P37" s="13">
        <v>6000</v>
      </c>
      <c r="Q37" s="14">
        <v>6000</v>
      </c>
      <c r="R37" s="16"/>
      <c r="S37" s="17"/>
      <c r="T37" s="61"/>
      <c r="U37" s="18"/>
      <c r="V37" s="17"/>
      <c r="W37" s="61"/>
      <c r="X37" s="18"/>
      <c r="Y37" s="17"/>
      <c r="Z37" s="61"/>
      <c r="AA37" s="18"/>
      <c r="AB37" s="17"/>
      <c r="AC37" s="61"/>
      <c r="AD37" s="18">
        <f t="shared" si="5"/>
        <v>6000</v>
      </c>
      <c r="AE37" s="13">
        <f t="shared" si="6"/>
        <v>6000</v>
      </c>
      <c r="AF37" s="67">
        <f t="shared" si="7"/>
        <v>6000</v>
      </c>
    </row>
    <row r="38" spans="1:32" ht="15">
      <c r="A38" s="50">
        <v>33</v>
      </c>
      <c r="B38" s="183" t="s">
        <v>37</v>
      </c>
      <c r="C38" s="18"/>
      <c r="D38" s="13"/>
      <c r="E38" s="14"/>
      <c r="F38" s="18"/>
      <c r="G38" s="13"/>
      <c r="H38" s="14"/>
      <c r="I38" s="15">
        <v>370</v>
      </c>
      <c r="J38" s="13">
        <v>365</v>
      </c>
      <c r="K38" s="60">
        <v>300</v>
      </c>
      <c r="L38" s="18"/>
      <c r="M38" s="17"/>
      <c r="N38" s="61"/>
      <c r="O38" s="18"/>
      <c r="P38" s="17"/>
      <c r="Q38" s="19"/>
      <c r="R38" s="16"/>
      <c r="S38" s="17"/>
      <c r="T38" s="61"/>
      <c r="U38" s="18"/>
      <c r="V38" s="17"/>
      <c r="W38" s="61"/>
      <c r="X38" s="18"/>
      <c r="Y38" s="17"/>
      <c r="Z38" s="61"/>
      <c r="AA38" s="18"/>
      <c r="AB38" s="17"/>
      <c r="AC38" s="61">
        <v>50</v>
      </c>
      <c r="AD38" s="18">
        <f t="shared" si="5"/>
        <v>370</v>
      </c>
      <c r="AE38" s="13">
        <f t="shared" si="6"/>
        <v>365</v>
      </c>
      <c r="AF38" s="67">
        <f t="shared" si="7"/>
        <v>350</v>
      </c>
    </row>
    <row r="39" spans="1:32" ht="15">
      <c r="A39" s="51">
        <v>34</v>
      </c>
      <c r="B39" s="183" t="s">
        <v>38</v>
      </c>
      <c r="C39" s="18"/>
      <c r="D39" s="13"/>
      <c r="E39" s="14"/>
      <c r="F39" s="18"/>
      <c r="G39" s="13"/>
      <c r="H39" s="14"/>
      <c r="I39" s="15">
        <v>560</v>
      </c>
      <c r="J39" s="13">
        <f>343+166+51</f>
        <v>560</v>
      </c>
      <c r="K39" s="13">
        <v>500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100</v>
      </c>
      <c r="AD39" s="17">
        <f t="shared" si="5"/>
        <v>560</v>
      </c>
      <c r="AE39" s="13">
        <f>D39+G39+J39+M39+P39+S39+V39+Y39+AB39</f>
        <v>560</v>
      </c>
      <c r="AF39" s="110">
        <f t="shared" si="7"/>
        <v>600</v>
      </c>
    </row>
    <row r="40" spans="1:32" ht="15.75" thickBot="1">
      <c r="A40" s="185">
        <v>35</v>
      </c>
      <c r="B40" s="186" t="s">
        <v>149</v>
      </c>
      <c r="C40" s="86"/>
      <c r="D40" s="187"/>
      <c r="E40" s="188"/>
      <c r="F40" s="86"/>
      <c r="G40" s="187"/>
      <c r="H40" s="188"/>
      <c r="I40" s="15"/>
      <c r="J40" s="13"/>
      <c r="K40" s="13"/>
      <c r="L40" s="17"/>
      <c r="M40" s="17"/>
      <c r="N40" s="17"/>
      <c r="O40" s="17">
        <v>300</v>
      </c>
      <c r="P40" s="17">
        <v>300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f t="shared" si="5"/>
        <v>300</v>
      </c>
      <c r="AE40" s="13">
        <f>D40+G40+J40+M40+P40+S40+V40+Y40+AB40</f>
        <v>300</v>
      </c>
      <c r="AF40" s="110">
        <f t="shared" si="7"/>
        <v>0</v>
      </c>
    </row>
    <row r="41" spans="1:32" ht="15.75" thickBot="1">
      <c r="A41" s="180"/>
      <c r="B41" s="180" t="s">
        <v>27</v>
      </c>
      <c r="C41" s="181">
        <f>SUM(C6:C40)</f>
        <v>166211</v>
      </c>
      <c r="D41" s="181">
        <f aca="true" t="shared" si="8" ref="D41:AF41">SUM(D6:D40)</f>
        <v>159142</v>
      </c>
      <c r="E41" s="181">
        <f t="shared" si="8"/>
        <v>173206</v>
      </c>
      <c r="F41" s="181">
        <f t="shared" si="8"/>
        <v>26623</v>
      </c>
      <c r="G41" s="181">
        <f t="shared" si="8"/>
        <v>25635</v>
      </c>
      <c r="H41" s="181">
        <f t="shared" si="8"/>
        <v>27475</v>
      </c>
      <c r="I41" s="181">
        <f t="shared" si="8"/>
        <v>276064</v>
      </c>
      <c r="J41" s="181">
        <f t="shared" si="8"/>
        <v>239516</v>
      </c>
      <c r="K41" s="181">
        <f t="shared" si="8"/>
        <v>279038</v>
      </c>
      <c r="L41" s="181">
        <f t="shared" si="8"/>
        <v>3500</v>
      </c>
      <c r="M41" s="181">
        <f t="shared" si="8"/>
        <v>3500</v>
      </c>
      <c r="N41" s="181">
        <f t="shared" si="8"/>
        <v>3500</v>
      </c>
      <c r="O41" s="181">
        <f t="shared" si="8"/>
        <v>13587</v>
      </c>
      <c r="P41" s="181">
        <f t="shared" si="8"/>
        <v>8787</v>
      </c>
      <c r="Q41" s="181">
        <f t="shared" si="8"/>
        <v>17080</v>
      </c>
      <c r="R41" s="181">
        <f t="shared" si="8"/>
        <v>2499</v>
      </c>
      <c r="S41" s="181">
        <f t="shared" si="8"/>
        <v>1680</v>
      </c>
      <c r="T41" s="181">
        <f t="shared" si="8"/>
        <v>1160</v>
      </c>
      <c r="U41" s="181">
        <f t="shared" si="8"/>
        <v>8110</v>
      </c>
      <c r="V41" s="181">
        <f t="shared" si="8"/>
        <v>311</v>
      </c>
      <c r="W41" s="181">
        <f t="shared" si="8"/>
        <v>4000</v>
      </c>
      <c r="X41" s="181">
        <f t="shared" si="8"/>
        <v>10500</v>
      </c>
      <c r="Y41" s="181">
        <f t="shared" si="8"/>
        <v>5188</v>
      </c>
      <c r="Z41" s="181">
        <f t="shared" si="8"/>
        <v>0</v>
      </c>
      <c r="AA41" s="181">
        <f t="shared" si="8"/>
        <v>105684</v>
      </c>
      <c r="AB41" s="181">
        <f t="shared" si="8"/>
        <v>73943</v>
      </c>
      <c r="AC41" s="181">
        <f t="shared" si="8"/>
        <v>105095</v>
      </c>
      <c r="AD41" s="181">
        <f t="shared" si="8"/>
        <v>612778</v>
      </c>
      <c r="AE41" s="181">
        <f>SUM(AE6:AE40)</f>
        <v>517702</v>
      </c>
      <c r="AF41" s="181">
        <f t="shared" si="8"/>
        <v>610554</v>
      </c>
    </row>
    <row r="43" spans="2:12" ht="15">
      <c r="B43" s="5" t="s">
        <v>31</v>
      </c>
      <c r="C43" s="6"/>
      <c r="D43" s="4"/>
      <c r="E43" s="4"/>
      <c r="F43" s="4"/>
      <c r="J43" s="4" t="s">
        <v>32</v>
      </c>
      <c r="K43" s="4"/>
      <c r="L43" s="4"/>
    </row>
    <row r="44" spans="2:29" ht="15">
      <c r="B44" s="4" t="s">
        <v>33</v>
      </c>
      <c r="C44" s="6"/>
      <c r="D44" s="4"/>
      <c r="E44" s="4"/>
      <c r="F44" s="4"/>
      <c r="J44" s="4" t="s">
        <v>34</v>
      </c>
      <c r="K44" s="4"/>
      <c r="L44" s="4"/>
      <c r="AC44" s="80">
        <f>AE41-AD41</f>
        <v>-95076</v>
      </c>
    </row>
  </sheetData>
  <sheetProtection/>
  <printOptions/>
  <pageMargins left="0.82" right="0.17" top="0.25" bottom="0.34" header="0.17" footer="0.3"/>
  <pageSetup horizontalDpi="1200" verticalDpi="12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5">
      <selection activeCell="I6" sqref="I6"/>
    </sheetView>
  </sheetViews>
  <sheetFormatPr defaultColWidth="9.140625" defaultRowHeight="15"/>
  <cols>
    <col min="1" max="1" width="21.00390625" style="0" customWidth="1"/>
    <col min="2" max="2" width="10.8515625" style="0" customWidth="1"/>
    <col min="4" max="4" width="14.8515625" style="0" customWidth="1"/>
    <col min="5" max="5" width="7.00390625" style="0" customWidth="1"/>
    <col min="6" max="6" width="7.140625" style="0" customWidth="1"/>
    <col min="7" max="7" width="8.00390625" style="0" customWidth="1"/>
    <col min="8" max="8" width="6.7109375" style="0" customWidth="1"/>
    <col min="9" max="9" width="7.8515625" style="0" customWidth="1"/>
    <col min="10" max="10" width="9.7109375" style="0" customWidth="1"/>
    <col min="11" max="11" width="7.140625" style="0" customWidth="1"/>
    <col min="12" max="12" width="8.28125" style="0" customWidth="1"/>
    <col min="13" max="13" width="7.7109375" style="0" customWidth="1"/>
    <col min="14" max="14" width="7.57421875" style="0" customWidth="1"/>
  </cols>
  <sheetData>
    <row r="1" spans="1:12" ht="15.75" thickBot="1">
      <c r="A1" s="4" t="s">
        <v>113</v>
      </c>
      <c r="C1" s="4" t="s">
        <v>131</v>
      </c>
      <c r="L1" t="s">
        <v>132</v>
      </c>
    </row>
    <row r="2" spans="1:14" ht="15">
      <c r="A2" s="258" t="s">
        <v>40</v>
      </c>
      <c r="B2" s="274"/>
      <c r="C2" s="254" t="s">
        <v>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6"/>
    </row>
    <row r="3" spans="1:14" ht="15">
      <c r="A3" s="259" t="s">
        <v>42</v>
      </c>
      <c r="B3" s="271" t="s">
        <v>43</v>
      </c>
      <c r="C3" s="21" t="s">
        <v>44</v>
      </c>
      <c r="D3" s="21" t="s">
        <v>45</v>
      </c>
      <c r="E3" s="275"/>
      <c r="F3" s="275"/>
      <c r="G3" s="275"/>
      <c r="H3" s="22"/>
      <c r="I3" s="276"/>
      <c r="J3" s="276"/>
      <c r="K3" s="276"/>
      <c r="L3" s="276"/>
      <c r="M3" s="276"/>
      <c r="N3" s="277"/>
    </row>
    <row r="4" spans="1:14" ht="15">
      <c r="A4" s="259"/>
      <c r="B4" s="271"/>
      <c r="C4" s="21" t="s">
        <v>46</v>
      </c>
      <c r="D4" s="21"/>
      <c r="E4" s="271">
        <v>6000000</v>
      </c>
      <c r="F4" s="271">
        <v>6010000</v>
      </c>
      <c r="G4" s="271">
        <v>6020000</v>
      </c>
      <c r="H4" s="271">
        <v>6030000</v>
      </c>
      <c r="I4" s="271">
        <v>6040000</v>
      </c>
      <c r="J4" s="271">
        <v>6060000</v>
      </c>
      <c r="K4" s="271">
        <v>6090000</v>
      </c>
      <c r="L4" s="271">
        <v>2300000</v>
      </c>
      <c r="M4" s="271">
        <v>2310000</v>
      </c>
      <c r="N4" s="260" t="s">
        <v>27</v>
      </c>
    </row>
    <row r="5" spans="1:14" ht="15.75" thickBot="1">
      <c r="A5" s="23"/>
      <c r="B5" s="24"/>
      <c r="C5" s="24"/>
      <c r="D5" s="24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15.75" thickBot="1">
      <c r="A6" s="39"/>
      <c r="B6" s="40"/>
      <c r="C6" s="52" t="s">
        <v>47</v>
      </c>
      <c r="D6" s="53" t="s">
        <v>48</v>
      </c>
      <c r="E6" s="41"/>
      <c r="F6" s="41"/>
      <c r="G6" s="41">
        <v>2552</v>
      </c>
      <c r="H6" s="41"/>
      <c r="I6" s="41">
        <v>4438</v>
      </c>
      <c r="J6" s="41">
        <v>20</v>
      </c>
      <c r="K6" s="41"/>
      <c r="L6" s="41">
        <v>5300</v>
      </c>
      <c r="M6" s="41">
        <v>821</v>
      </c>
      <c r="N6" s="42">
        <f>SUM(E6:M6)</f>
        <v>13131</v>
      </c>
    </row>
    <row r="7" spans="1:14" ht="15">
      <c r="A7" s="98"/>
      <c r="B7" s="99"/>
      <c r="C7" s="100" t="s">
        <v>128</v>
      </c>
      <c r="D7" s="101" t="s">
        <v>91</v>
      </c>
      <c r="E7" s="102">
        <v>200</v>
      </c>
      <c r="F7" s="102">
        <v>27</v>
      </c>
      <c r="G7" s="102">
        <v>812</v>
      </c>
      <c r="H7" s="102"/>
      <c r="I7" s="102">
        <v>275</v>
      </c>
      <c r="J7" s="102"/>
      <c r="K7" s="102"/>
      <c r="L7" s="102"/>
      <c r="M7" s="102">
        <v>444</v>
      </c>
      <c r="N7" s="42">
        <f>SUM(E7:M7)</f>
        <v>1758</v>
      </c>
    </row>
    <row r="8" spans="1:14" ht="15">
      <c r="A8" s="43" t="s">
        <v>69</v>
      </c>
      <c r="B8" s="25"/>
      <c r="C8" s="27" t="s">
        <v>49</v>
      </c>
      <c r="D8" s="54" t="s">
        <v>50</v>
      </c>
      <c r="E8" s="26"/>
      <c r="F8" s="26"/>
      <c r="G8" s="26"/>
      <c r="H8" s="26"/>
      <c r="I8" s="26"/>
      <c r="J8" s="26"/>
      <c r="K8" s="26"/>
      <c r="L8" s="26"/>
      <c r="M8" s="26"/>
      <c r="N8" s="44">
        <f>SUM(E8:M8)</f>
        <v>0</v>
      </c>
    </row>
    <row r="9" spans="1:14" ht="15">
      <c r="A9" s="43"/>
      <c r="B9" s="25"/>
      <c r="C9" s="27" t="s">
        <v>49</v>
      </c>
      <c r="D9" s="54" t="s">
        <v>91</v>
      </c>
      <c r="E9" s="26"/>
      <c r="F9" s="26"/>
      <c r="G9" s="26"/>
      <c r="H9" s="26"/>
      <c r="I9" s="26"/>
      <c r="J9" s="26"/>
      <c r="K9" s="26"/>
      <c r="L9" s="26"/>
      <c r="M9" s="26">
        <v>58327</v>
      </c>
      <c r="N9" s="44">
        <f>SUM(E9:M9)</f>
        <v>58327</v>
      </c>
    </row>
    <row r="10" spans="1:14" ht="15">
      <c r="A10" s="43"/>
      <c r="B10" s="25"/>
      <c r="C10" s="27" t="s">
        <v>60</v>
      </c>
      <c r="D10" s="54" t="s">
        <v>53</v>
      </c>
      <c r="E10" s="26"/>
      <c r="F10" s="26"/>
      <c r="G10" s="26"/>
      <c r="H10" s="26"/>
      <c r="I10" s="26"/>
      <c r="J10" s="26"/>
      <c r="K10" s="26"/>
      <c r="L10" s="26"/>
      <c r="M10" s="26"/>
      <c r="N10" s="44">
        <f>SUM(E10:M10)</f>
        <v>0</v>
      </c>
    </row>
    <row r="11" spans="1:14" ht="15">
      <c r="A11" s="43"/>
      <c r="B11" s="25"/>
      <c r="C11" s="27" t="s">
        <v>49</v>
      </c>
      <c r="D11" s="54" t="s">
        <v>92</v>
      </c>
      <c r="E11" s="26"/>
      <c r="F11" s="26"/>
      <c r="G11" s="26"/>
      <c r="H11" s="26"/>
      <c r="I11" s="26"/>
      <c r="J11" s="26"/>
      <c r="K11" s="26"/>
      <c r="L11" s="26"/>
      <c r="M11" s="26">
        <v>1384</v>
      </c>
      <c r="N11" s="44">
        <f aca="true" t="shared" si="0" ref="N11:N35">SUM(E11:M11)</f>
        <v>1384</v>
      </c>
    </row>
    <row r="12" spans="1:14" ht="23.25">
      <c r="A12" s="123" t="s">
        <v>127</v>
      </c>
      <c r="B12" s="28">
        <v>128</v>
      </c>
      <c r="C12" s="27" t="s">
        <v>52</v>
      </c>
      <c r="D12" s="54" t="s">
        <v>48</v>
      </c>
      <c r="E12" s="26"/>
      <c r="F12" s="26"/>
      <c r="G12" s="26"/>
      <c r="H12" s="26"/>
      <c r="I12" s="26"/>
      <c r="J12" s="26"/>
      <c r="K12" s="26"/>
      <c r="L12" s="26"/>
      <c r="M12" s="26">
        <v>2000</v>
      </c>
      <c r="N12" s="44">
        <f t="shared" si="0"/>
        <v>2000</v>
      </c>
    </row>
    <row r="13" spans="1:14" ht="15.75" customHeight="1">
      <c r="A13" s="43" t="s">
        <v>124</v>
      </c>
      <c r="B13" s="25">
        <v>45353</v>
      </c>
      <c r="C13" s="27" t="s">
        <v>47</v>
      </c>
      <c r="D13" s="54" t="s">
        <v>55</v>
      </c>
      <c r="E13" s="26"/>
      <c r="F13" s="26"/>
      <c r="G13" s="26"/>
      <c r="H13" s="26"/>
      <c r="I13" s="26"/>
      <c r="J13" s="26"/>
      <c r="K13" s="26"/>
      <c r="L13" s="26"/>
      <c r="M13" s="26"/>
      <c r="N13" s="44">
        <f t="shared" si="0"/>
        <v>0</v>
      </c>
    </row>
    <row r="14" spans="1:14" ht="15.75" customHeight="1">
      <c r="A14" s="45" t="s">
        <v>125</v>
      </c>
      <c r="B14" s="28">
        <v>41307</v>
      </c>
      <c r="C14" s="27" t="s">
        <v>51</v>
      </c>
      <c r="D14" s="54" t="s">
        <v>57</v>
      </c>
      <c r="E14" s="26"/>
      <c r="F14" s="26"/>
      <c r="G14" s="26"/>
      <c r="H14" s="26"/>
      <c r="I14" s="26"/>
      <c r="J14" s="26"/>
      <c r="K14" s="26"/>
      <c r="L14" s="26"/>
      <c r="M14" s="26"/>
      <c r="N14" s="44">
        <f t="shared" si="0"/>
        <v>0</v>
      </c>
    </row>
    <row r="15" spans="1:14" ht="25.5" customHeight="1">
      <c r="A15" s="124" t="s">
        <v>126</v>
      </c>
      <c r="B15" s="28">
        <v>1878</v>
      </c>
      <c r="C15" s="27" t="s">
        <v>51</v>
      </c>
      <c r="D15" s="55" t="s">
        <v>59</v>
      </c>
      <c r="E15" s="26"/>
      <c r="F15" s="26"/>
      <c r="G15" s="26">
        <v>945</v>
      </c>
      <c r="H15" s="26"/>
      <c r="I15" s="26"/>
      <c r="J15" s="26">
        <v>319</v>
      </c>
      <c r="K15" s="26"/>
      <c r="L15" s="26"/>
      <c r="M15" s="26"/>
      <c r="N15" s="44">
        <f t="shared" si="0"/>
        <v>1264</v>
      </c>
    </row>
    <row r="16" spans="1:14" ht="15">
      <c r="A16" s="47"/>
      <c r="B16" s="28"/>
      <c r="C16" s="27" t="s">
        <v>60</v>
      </c>
      <c r="D16" s="55" t="s">
        <v>61</v>
      </c>
      <c r="E16" s="26"/>
      <c r="F16" s="26"/>
      <c r="G16" s="26"/>
      <c r="H16" s="26"/>
      <c r="I16" s="26"/>
      <c r="J16" s="26"/>
      <c r="K16" s="26"/>
      <c r="L16" s="26"/>
      <c r="M16" s="26"/>
      <c r="N16" s="44">
        <f t="shared" si="0"/>
        <v>0</v>
      </c>
    </row>
    <row r="17" spans="1:14" ht="15">
      <c r="A17" s="46"/>
      <c r="B17" s="28"/>
      <c r="C17" s="27" t="s">
        <v>62</v>
      </c>
      <c r="D17" s="55" t="s">
        <v>63</v>
      </c>
      <c r="E17" s="26"/>
      <c r="F17" s="26"/>
      <c r="G17" s="26">
        <v>318</v>
      </c>
      <c r="H17" s="26"/>
      <c r="I17" s="26"/>
      <c r="J17" s="26"/>
      <c r="K17" s="26"/>
      <c r="L17" s="26"/>
      <c r="M17" s="26"/>
      <c r="N17" s="44">
        <f t="shared" si="0"/>
        <v>318</v>
      </c>
    </row>
    <row r="18" spans="1:14" ht="15">
      <c r="A18" s="47"/>
      <c r="B18" s="28"/>
      <c r="C18" s="27" t="s">
        <v>64</v>
      </c>
      <c r="D18" s="54" t="s">
        <v>36</v>
      </c>
      <c r="E18" s="26"/>
      <c r="F18" s="26" t="s">
        <v>69</v>
      </c>
      <c r="G18" s="26">
        <v>68</v>
      </c>
      <c r="H18" s="26"/>
      <c r="I18" s="26"/>
      <c r="J18" s="26"/>
      <c r="K18" s="26"/>
      <c r="L18" s="26"/>
      <c r="M18" s="26"/>
      <c r="N18" s="44">
        <f t="shared" si="0"/>
        <v>68</v>
      </c>
    </row>
    <row r="19" spans="1:14" ht="15">
      <c r="A19" s="43"/>
      <c r="B19" s="28"/>
      <c r="C19" s="27" t="s">
        <v>65</v>
      </c>
      <c r="D19" s="54" t="s">
        <v>66</v>
      </c>
      <c r="E19" s="26"/>
      <c r="F19" s="26"/>
      <c r="G19" s="26"/>
      <c r="H19" s="26"/>
      <c r="I19" s="26"/>
      <c r="J19" s="26"/>
      <c r="K19" s="26"/>
      <c r="L19" s="26"/>
      <c r="M19" s="26"/>
      <c r="N19" s="44">
        <f t="shared" si="0"/>
        <v>0</v>
      </c>
    </row>
    <row r="20" spans="1:14" ht="15">
      <c r="A20" s="43"/>
      <c r="B20" s="28"/>
      <c r="C20" s="27" t="s">
        <v>67</v>
      </c>
      <c r="D20" s="54" t="s">
        <v>68</v>
      </c>
      <c r="E20" s="26"/>
      <c r="F20" s="26"/>
      <c r="G20" s="26"/>
      <c r="H20" s="26"/>
      <c r="I20" s="26"/>
      <c r="J20" s="26"/>
      <c r="K20" s="26"/>
      <c r="L20" s="26"/>
      <c r="M20" s="26">
        <v>50</v>
      </c>
      <c r="N20" s="44">
        <f t="shared" si="0"/>
        <v>50</v>
      </c>
    </row>
    <row r="21" spans="1:14" ht="15">
      <c r="A21" s="46" t="s">
        <v>69</v>
      </c>
      <c r="B21" s="28"/>
      <c r="C21" s="27" t="s">
        <v>65</v>
      </c>
      <c r="D21" s="54" t="s">
        <v>70</v>
      </c>
      <c r="E21" s="26"/>
      <c r="F21" s="26"/>
      <c r="G21" s="26">
        <v>1600</v>
      </c>
      <c r="H21" s="26"/>
      <c r="I21" s="26"/>
      <c r="J21" s="26"/>
      <c r="K21" s="26"/>
      <c r="L21" s="26"/>
      <c r="M21" s="26"/>
      <c r="N21" s="44">
        <f t="shared" si="0"/>
        <v>1600</v>
      </c>
    </row>
    <row r="22" spans="1:14" ht="15">
      <c r="A22" s="46"/>
      <c r="B22" s="28"/>
      <c r="C22" s="27" t="s">
        <v>67</v>
      </c>
      <c r="D22" s="54" t="s">
        <v>129</v>
      </c>
      <c r="E22" s="26"/>
      <c r="F22" s="26"/>
      <c r="G22" s="26"/>
      <c r="H22" s="26"/>
      <c r="I22" s="26"/>
      <c r="J22" s="26"/>
      <c r="K22" s="26"/>
      <c r="L22" s="26"/>
      <c r="M22" s="26"/>
      <c r="N22" s="44">
        <f t="shared" si="0"/>
        <v>0</v>
      </c>
    </row>
    <row r="23" spans="1:14" ht="15">
      <c r="A23" s="46"/>
      <c r="B23" s="28"/>
      <c r="C23" s="27" t="s">
        <v>71</v>
      </c>
      <c r="D23" s="54" t="s">
        <v>72</v>
      </c>
      <c r="E23" s="26"/>
      <c r="F23" s="26"/>
      <c r="G23" s="26">
        <v>1520</v>
      </c>
      <c r="H23" s="26"/>
      <c r="I23" s="26"/>
      <c r="J23" s="26"/>
      <c r="K23" s="26"/>
      <c r="L23" s="26"/>
      <c r="M23" s="26">
        <v>137</v>
      </c>
      <c r="N23" s="44">
        <f t="shared" si="0"/>
        <v>1657</v>
      </c>
    </row>
    <row r="24" spans="1:14" ht="15">
      <c r="A24" s="46"/>
      <c r="B24" s="28"/>
      <c r="C24" s="27" t="s">
        <v>73</v>
      </c>
      <c r="D24" s="54" t="s">
        <v>74</v>
      </c>
      <c r="E24" s="26"/>
      <c r="F24" s="26"/>
      <c r="G24" s="26">
        <v>6</v>
      </c>
      <c r="H24" s="26"/>
      <c r="I24" s="26"/>
      <c r="J24" s="26"/>
      <c r="K24" s="26"/>
      <c r="L24" s="26"/>
      <c r="M24" s="26"/>
      <c r="N24" s="44">
        <f t="shared" si="0"/>
        <v>6</v>
      </c>
    </row>
    <row r="25" spans="1:14" ht="15">
      <c r="A25" s="46"/>
      <c r="B25" s="28"/>
      <c r="C25" s="27" t="s">
        <v>71</v>
      </c>
      <c r="D25" s="54" t="s">
        <v>9</v>
      </c>
      <c r="E25" s="26"/>
      <c r="F25" s="26"/>
      <c r="G25" s="26"/>
      <c r="H25" s="26"/>
      <c r="I25" s="26"/>
      <c r="J25" s="26"/>
      <c r="K25" s="26"/>
      <c r="L25" s="26"/>
      <c r="M25" s="26"/>
      <c r="N25" s="44">
        <f t="shared" si="0"/>
        <v>0</v>
      </c>
    </row>
    <row r="26" spans="1:14" ht="15">
      <c r="A26" s="46"/>
      <c r="B26" s="28"/>
      <c r="C26" s="27" t="s">
        <v>47</v>
      </c>
      <c r="D26" s="54" t="s">
        <v>11</v>
      </c>
      <c r="E26" s="26"/>
      <c r="F26" s="26"/>
      <c r="G26" s="26">
        <v>4</v>
      </c>
      <c r="H26" s="26"/>
      <c r="I26" s="26"/>
      <c r="J26" s="26"/>
      <c r="K26" s="26"/>
      <c r="L26" s="26"/>
      <c r="M26" s="26">
        <v>450</v>
      </c>
      <c r="N26" s="44">
        <f t="shared" si="0"/>
        <v>454</v>
      </c>
    </row>
    <row r="27" spans="1:14" ht="15">
      <c r="A27" s="46"/>
      <c r="B27" s="28"/>
      <c r="C27" s="27" t="s">
        <v>71</v>
      </c>
      <c r="D27" s="54" t="s">
        <v>75</v>
      </c>
      <c r="E27" s="26"/>
      <c r="F27" s="26"/>
      <c r="G27" s="26"/>
      <c r="H27" s="26"/>
      <c r="I27" s="26"/>
      <c r="J27" s="26"/>
      <c r="K27" s="26"/>
      <c r="L27" s="26"/>
      <c r="M27" s="26">
        <v>332</v>
      </c>
      <c r="N27" s="44">
        <f t="shared" si="0"/>
        <v>332</v>
      </c>
    </row>
    <row r="28" spans="1:14" ht="15">
      <c r="A28" s="46"/>
      <c r="B28" s="28"/>
      <c r="C28" s="27" t="s">
        <v>52</v>
      </c>
      <c r="D28" s="54" t="s">
        <v>76</v>
      </c>
      <c r="E28" s="26"/>
      <c r="F28" s="26"/>
      <c r="G28" s="26">
        <v>3011</v>
      </c>
      <c r="H28" s="26"/>
      <c r="I28" s="26"/>
      <c r="J28" s="26"/>
      <c r="K28" s="26"/>
      <c r="L28" s="26"/>
      <c r="M28" s="26">
        <v>32</v>
      </c>
      <c r="N28" s="44">
        <f t="shared" si="0"/>
        <v>3043</v>
      </c>
    </row>
    <row r="29" spans="1:14" ht="15">
      <c r="A29" s="48"/>
      <c r="B29" s="25"/>
      <c r="C29" s="27" t="s">
        <v>52</v>
      </c>
      <c r="D29" s="54" t="s">
        <v>81</v>
      </c>
      <c r="E29" s="26"/>
      <c r="F29" s="26"/>
      <c r="G29" s="26">
        <v>2696</v>
      </c>
      <c r="H29" s="26"/>
      <c r="I29" s="26"/>
      <c r="J29" s="26"/>
      <c r="K29" s="26"/>
      <c r="L29" s="26"/>
      <c r="M29" s="26"/>
      <c r="N29" s="44">
        <f t="shared" si="0"/>
        <v>2696</v>
      </c>
    </row>
    <row r="30" spans="1:14" ht="15">
      <c r="A30" s="48"/>
      <c r="B30" s="25"/>
      <c r="C30" s="27" t="s">
        <v>83</v>
      </c>
      <c r="D30" s="54" t="s">
        <v>85</v>
      </c>
      <c r="E30" s="26"/>
      <c r="F30" s="26"/>
      <c r="G30" s="26"/>
      <c r="H30" s="26"/>
      <c r="I30" s="26"/>
      <c r="J30" s="26">
        <v>120</v>
      </c>
      <c r="K30" s="26"/>
      <c r="L30" s="26"/>
      <c r="M30" s="26"/>
      <c r="N30" s="44">
        <f t="shared" si="0"/>
        <v>120</v>
      </c>
    </row>
    <row r="31" spans="1:14" ht="15">
      <c r="A31" s="48"/>
      <c r="B31" s="25"/>
      <c r="C31" s="27" t="s">
        <v>87</v>
      </c>
      <c r="D31" s="54" t="s">
        <v>37</v>
      </c>
      <c r="E31" s="26"/>
      <c r="F31" s="26"/>
      <c r="G31" s="26">
        <v>65</v>
      </c>
      <c r="H31" s="26"/>
      <c r="I31" s="26"/>
      <c r="J31" s="26"/>
      <c r="K31" s="26"/>
      <c r="L31" s="26"/>
      <c r="M31" s="26"/>
      <c r="N31" s="44">
        <f t="shared" si="0"/>
        <v>65</v>
      </c>
    </row>
    <row r="32" spans="1:14" ht="15">
      <c r="A32" s="126"/>
      <c r="B32" s="134"/>
      <c r="C32" s="27" t="s">
        <v>119</v>
      </c>
      <c r="D32" s="54" t="s">
        <v>130</v>
      </c>
      <c r="E32" s="135"/>
      <c r="F32" s="135"/>
      <c r="G32" s="26">
        <v>5</v>
      </c>
      <c r="H32" s="135"/>
      <c r="I32" s="135"/>
      <c r="J32" s="135"/>
      <c r="K32" s="135"/>
      <c r="L32" s="135"/>
      <c r="M32" s="135"/>
      <c r="N32" s="44">
        <f t="shared" si="0"/>
        <v>5</v>
      </c>
    </row>
    <row r="33" spans="1:14" ht="15.75" thickBot="1">
      <c r="A33" s="126"/>
      <c r="B33" s="134"/>
      <c r="C33" s="56" t="s">
        <v>87</v>
      </c>
      <c r="D33" s="57" t="s">
        <v>88</v>
      </c>
      <c r="E33" s="135"/>
      <c r="F33" s="135"/>
      <c r="G33" s="26">
        <v>200</v>
      </c>
      <c r="H33" s="135"/>
      <c r="I33" s="135"/>
      <c r="J33" s="135"/>
      <c r="K33" s="135"/>
      <c r="L33" s="135"/>
      <c r="M33" s="135"/>
      <c r="N33" s="44">
        <f t="shared" si="0"/>
        <v>200</v>
      </c>
    </row>
    <row r="34" spans="1:14" ht="15">
      <c r="A34" s="126"/>
      <c r="B34" s="134"/>
      <c r="C34" s="128" t="s">
        <v>87</v>
      </c>
      <c r="D34" s="129" t="s">
        <v>120</v>
      </c>
      <c r="E34" s="135"/>
      <c r="F34" s="135"/>
      <c r="G34" s="26">
        <v>1</v>
      </c>
      <c r="H34" s="135"/>
      <c r="I34" s="135"/>
      <c r="J34" s="135"/>
      <c r="K34" s="135"/>
      <c r="L34" s="135"/>
      <c r="M34" s="135"/>
      <c r="N34" s="44">
        <f t="shared" si="0"/>
        <v>1</v>
      </c>
    </row>
    <row r="35" spans="1:14" ht="15.75" thickBot="1">
      <c r="A35" s="126"/>
      <c r="B35" s="134"/>
      <c r="C35" s="128" t="s">
        <v>119</v>
      </c>
      <c r="D35" s="129" t="s">
        <v>120</v>
      </c>
      <c r="E35" s="135"/>
      <c r="F35" s="135"/>
      <c r="G35" s="26">
        <v>187</v>
      </c>
      <c r="H35" s="135"/>
      <c r="I35" s="135"/>
      <c r="J35" s="135"/>
      <c r="K35" s="135"/>
      <c r="L35" s="135"/>
      <c r="M35" s="135"/>
      <c r="N35" s="44">
        <f t="shared" si="0"/>
        <v>187</v>
      </c>
    </row>
    <row r="36" spans="1:14" ht="15.75" thickBot="1">
      <c r="A36" s="29" t="s">
        <v>89</v>
      </c>
      <c r="B36" s="30">
        <f>SUM(B6:B30)</f>
        <v>88666</v>
      </c>
      <c r="C36" s="31"/>
      <c r="D36" s="32" t="s">
        <v>90</v>
      </c>
      <c r="E36" s="33">
        <f aca="true" t="shared" si="1" ref="E36:N36">SUM(E6:E35)</f>
        <v>200</v>
      </c>
      <c r="F36" s="33">
        <f t="shared" si="1"/>
        <v>27</v>
      </c>
      <c r="G36" s="33">
        <f t="shared" si="1"/>
        <v>13990</v>
      </c>
      <c r="H36" s="33">
        <f t="shared" si="1"/>
        <v>0</v>
      </c>
      <c r="I36" s="33">
        <f t="shared" si="1"/>
        <v>4713</v>
      </c>
      <c r="J36" s="33">
        <f t="shared" si="1"/>
        <v>459</v>
      </c>
      <c r="K36" s="33">
        <f t="shared" si="1"/>
        <v>0</v>
      </c>
      <c r="L36" s="33">
        <f t="shared" si="1"/>
        <v>5300</v>
      </c>
      <c r="M36" s="33">
        <f t="shared" si="1"/>
        <v>63977</v>
      </c>
      <c r="N36" s="34">
        <f t="shared" si="1"/>
        <v>88666</v>
      </c>
    </row>
    <row r="37" spans="1:14" ht="15">
      <c r="A37" s="113" t="s">
        <v>31</v>
      </c>
      <c r="B37" s="130"/>
      <c r="C37" s="130"/>
      <c r="D37" s="130"/>
      <c r="E37" s="130"/>
      <c r="F37" s="130"/>
      <c r="G37" s="130"/>
      <c r="H37" s="130"/>
      <c r="I37" s="130" t="s">
        <v>32</v>
      </c>
      <c r="J37" s="130"/>
      <c r="K37" s="130"/>
      <c r="L37" s="130"/>
      <c r="M37" s="131"/>
      <c r="N37" s="131"/>
    </row>
    <row r="38" spans="1:14" ht="15">
      <c r="A38" s="132" t="s">
        <v>33</v>
      </c>
      <c r="B38" s="132"/>
      <c r="C38" s="132"/>
      <c r="D38" s="132"/>
      <c r="E38" s="132"/>
      <c r="F38" s="132"/>
      <c r="G38" s="132"/>
      <c r="H38" s="132"/>
      <c r="I38" s="132" t="s">
        <v>34</v>
      </c>
      <c r="J38" s="132"/>
      <c r="K38" s="132"/>
      <c r="L38" s="133"/>
      <c r="M38" s="133"/>
      <c r="N38" s="133"/>
    </row>
  </sheetData>
  <sheetProtection/>
  <mergeCells count="16">
    <mergeCell ref="A2:B2"/>
    <mergeCell ref="C2:N2"/>
    <mergeCell ref="A3:A4"/>
    <mergeCell ref="B3:B4"/>
    <mergeCell ref="E3:G3"/>
    <mergeCell ref="I3:N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2" right="0.26" top="0.17" bottom="0.17" header="0.17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K3" sqref="K3"/>
    </sheetView>
  </sheetViews>
  <sheetFormatPr defaultColWidth="9.140625" defaultRowHeight="15"/>
  <cols>
    <col min="2" max="2" width="21.00390625" style="0" customWidth="1"/>
    <col min="4" max="4" width="5.140625" style="0" customWidth="1"/>
    <col min="6" max="6" width="3.7109375" style="0" customWidth="1"/>
    <col min="8" max="8" width="4.8515625" style="0" customWidth="1"/>
    <col min="10" max="10" width="4.421875" style="0" customWidth="1"/>
    <col min="12" max="12" width="5.28125" style="0" customWidth="1"/>
  </cols>
  <sheetData>
    <row r="2" spans="2:12" ht="15">
      <c r="B2" s="232" t="s">
        <v>154</v>
      </c>
      <c r="C2" s="232" t="s">
        <v>155</v>
      </c>
      <c r="D2" s="232"/>
      <c r="E2" s="232" t="s">
        <v>156</v>
      </c>
      <c r="F2" s="232"/>
      <c r="G2" s="232" t="s">
        <v>157</v>
      </c>
      <c r="H2" s="232"/>
      <c r="I2" s="232" t="s">
        <v>158</v>
      </c>
      <c r="J2" s="232"/>
      <c r="K2" s="232" t="s">
        <v>159</v>
      </c>
      <c r="L2" s="232"/>
    </row>
    <row r="3" spans="2:12" ht="15">
      <c r="B3" s="233" t="s">
        <v>160</v>
      </c>
      <c r="C3" s="234">
        <v>120949</v>
      </c>
      <c r="D3" s="235">
        <v>32.4</v>
      </c>
      <c r="E3" s="234">
        <v>148701</v>
      </c>
      <c r="F3" s="235">
        <v>30</v>
      </c>
      <c r="G3" s="234">
        <v>159311</v>
      </c>
      <c r="H3" s="235">
        <v>28.3</v>
      </c>
      <c r="I3" s="236">
        <v>152686</v>
      </c>
      <c r="J3" s="235">
        <v>26</v>
      </c>
      <c r="K3" s="234">
        <f>175796+4200+1758+4830+13006+3000+6000+620+415+5+800+376+186</f>
        <v>210992</v>
      </c>
      <c r="L3" s="237">
        <f>K3/K8</f>
        <v>0.29918564535089</v>
      </c>
    </row>
    <row r="4" spans="2:12" ht="15">
      <c r="B4" s="233" t="s">
        <v>161</v>
      </c>
      <c r="C4" s="234">
        <v>114208</v>
      </c>
      <c r="D4" s="235">
        <v>30.6</v>
      </c>
      <c r="E4" s="234">
        <v>179575</v>
      </c>
      <c r="F4" s="235">
        <v>36</v>
      </c>
      <c r="G4" s="234">
        <v>213440</v>
      </c>
      <c r="H4" s="235">
        <v>37.9</v>
      </c>
      <c r="I4" s="236">
        <v>241188</v>
      </c>
      <c r="J4" s="235">
        <v>41</v>
      </c>
      <c r="K4" s="234">
        <f>102898+62555+4223+3130+133692+1383</f>
        <v>307881</v>
      </c>
      <c r="L4" s="237">
        <f>K4/K8</f>
        <v>0.4365737832537602</v>
      </c>
    </row>
    <row r="5" spans="2:12" ht="15">
      <c r="B5" s="233" t="s">
        <v>162</v>
      </c>
      <c r="C5" s="234">
        <v>47439</v>
      </c>
      <c r="D5" s="235">
        <v>12.7</v>
      </c>
      <c r="E5" s="234">
        <v>65079</v>
      </c>
      <c r="F5" s="235">
        <v>13</v>
      </c>
      <c r="G5" s="234">
        <v>78657</v>
      </c>
      <c r="H5" s="235">
        <v>14</v>
      </c>
      <c r="I5" s="236">
        <v>89085</v>
      </c>
      <c r="J5" s="235">
        <v>15</v>
      </c>
      <c r="K5" s="234">
        <f>6213+43653+7718+26603+648</f>
        <v>84835</v>
      </c>
      <c r="L5" s="237">
        <f>K5/K8</f>
        <v>0.12029562364138334</v>
      </c>
    </row>
    <row r="6" spans="2:12" ht="15">
      <c r="B6" s="233" t="s">
        <v>163</v>
      </c>
      <c r="C6" s="234">
        <v>87143</v>
      </c>
      <c r="D6" s="235">
        <v>23.3</v>
      </c>
      <c r="E6" s="234">
        <v>103078</v>
      </c>
      <c r="F6" s="235">
        <v>21</v>
      </c>
      <c r="G6" s="234">
        <v>108152</v>
      </c>
      <c r="H6" s="235">
        <v>19.2</v>
      </c>
      <c r="I6" s="236">
        <v>96470</v>
      </c>
      <c r="J6" s="235">
        <v>17</v>
      </c>
      <c r="K6" s="234">
        <f>19538+650+17456+26873+6+21955+10535</f>
        <v>97013</v>
      </c>
      <c r="L6" s="237">
        <f>K6/K8</f>
        <v>0.13756396930891168</v>
      </c>
    </row>
    <row r="7" spans="2:12" ht="15">
      <c r="B7" s="233" t="s">
        <v>164</v>
      </c>
      <c r="C7" s="234">
        <v>3500</v>
      </c>
      <c r="D7" s="235">
        <v>0.9</v>
      </c>
      <c r="E7" s="234">
        <v>3500</v>
      </c>
      <c r="F7" s="235">
        <v>0.7</v>
      </c>
      <c r="G7" s="234">
        <v>3500</v>
      </c>
      <c r="H7" s="235">
        <v>0.6</v>
      </c>
      <c r="I7" s="236">
        <v>3500</v>
      </c>
      <c r="J7" s="235">
        <v>0.6</v>
      </c>
      <c r="K7" s="234">
        <v>4500</v>
      </c>
      <c r="L7" s="237">
        <f>K7/K8</f>
        <v>0.006380978445054812</v>
      </c>
    </row>
    <row r="8" spans="2:12" ht="15">
      <c r="B8" s="232" t="s">
        <v>27</v>
      </c>
      <c r="C8" s="238">
        <v>373239</v>
      </c>
      <c r="D8" s="239">
        <v>100</v>
      </c>
      <c r="E8" s="238">
        <v>499933</v>
      </c>
      <c r="F8" s="239">
        <v>100</v>
      </c>
      <c r="G8" s="238">
        <v>563060</v>
      </c>
      <c r="H8" s="239">
        <v>100</v>
      </c>
      <c r="I8" s="240">
        <v>582929</v>
      </c>
      <c r="J8" s="239">
        <v>100</v>
      </c>
      <c r="K8" s="238">
        <f>SUM(K3:K7)</f>
        <v>705221</v>
      </c>
      <c r="L8" s="241">
        <f>SUM(L3:L7)</f>
        <v>1</v>
      </c>
    </row>
    <row r="16" ht="15">
      <c r="D16" t="s">
        <v>69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0">
      <selection activeCell="B2" sqref="B2:L7"/>
    </sheetView>
  </sheetViews>
  <sheetFormatPr defaultColWidth="9.140625" defaultRowHeight="15"/>
  <cols>
    <col min="2" max="2" width="19.8515625" style="0" customWidth="1"/>
    <col min="4" max="4" width="4.140625" style="0" customWidth="1"/>
    <col min="6" max="6" width="4.7109375" style="0" customWidth="1"/>
    <col min="8" max="8" width="4.8515625" style="0" customWidth="1"/>
    <col min="10" max="10" width="4.8515625" style="0" customWidth="1"/>
    <col min="12" max="12" width="5.00390625" style="0" customWidth="1"/>
  </cols>
  <sheetData>
    <row r="2" spans="2:12" ht="15">
      <c r="B2" s="232" t="s">
        <v>154</v>
      </c>
      <c r="C2" s="232" t="s">
        <v>155</v>
      </c>
      <c r="D2" s="232"/>
      <c r="E2" s="232" t="s">
        <v>156</v>
      </c>
      <c r="F2" s="232"/>
      <c r="G2" s="232" t="s">
        <v>157</v>
      </c>
      <c r="H2" s="232"/>
      <c r="I2" s="242" t="s">
        <v>158</v>
      </c>
      <c r="J2" s="232"/>
      <c r="K2" s="232" t="s">
        <v>159</v>
      </c>
      <c r="L2" s="232"/>
    </row>
    <row r="3" spans="2:12" ht="15">
      <c r="B3" s="233" t="s">
        <v>165</v>
      </c>
      <c r="C3" s="234">
        <v>141711</v>
      </c>
      <c r="D3" s="235">
        <v>38</v>
      </c>
      <c r="E3" s="234">
        <v>168848</v>
      </c>
      <c r="F3" s="235">
        <v>34</v>
      </c>
      <c r="G3" s="234">
        <v>188618</v>
      </c>
      <c r="H3" s="235">
        <v>33.5</v>
      </c>
      <c r="I3" s="236">
        <v>184775</v>
      </c>
      <c r="J3" s="235">
        <v>32</v>
      </c>
      <c r="K3" s="234">
        <f>173781+27667</f>
        <v>201448</v>
      </c>
      <c r="L3" s="237">
        <f>K3/K7</f>
        <v>0.2856522990665338</v>
      </c>
    </row>
    <row r="4" spans="2:12" ht="15">
      <c r="B4" s="233" t="s">
        <v>166</v>
      </c>
      <c r="C4" s="234">
        <v>197258</v>
      </c>
      <c r="D4" s="235">
        <v>52.9</v>
      </c>
      <c r="E4" s="234">
        <v>222050</v>
      </c>
      <c r="F4" s="235">
        <v>44</v>
      </c>
      <c r="G4" s="234">
        <v>254601</v>
      </c>
      <c r="H4" s="235">
        <v>45.2</v>
      </c>
      <c r="I4" s="236">
        <v>268462</v>
      </c>
      <c r="J4" s="235">
        <v>46</v>
      </c>
      <c r="K4" s="234">
        <f>296703+4200</f>
        <v>300903</v>
      </c>
      <c r="L4" s="237">
        <f>K4/K7</f>
        <v>0.42667901267829517</v>
      </c>
    </row>
    <row r="5" spans="2:12" ht="15">
      <c r="B5" s="233" t="s">
        <v>167</v>
      </c>
      <c r="C5" s="234">
        <v>9703</v>
      </c>
      <c r="D5" s="235">
        <v>2.6</v>
      </c>
      <c r="E5" s="234">
        <v>13198</v>
      </c>
      <c r="F5" s="235">
        <v>2.6</v>
      </c>
      <c r="G5" s="234">
        <v>15583</v>
      </c>
      <c r="H5" s="235">
        <v>2.8</v>
      </c>
      <c r="I5" s="236">
        <v>14667</v>
      </c>
      <c r="J5" s="235">
        <v>2.5</v>
      </c>
      <c r="K5" s="234">
        <f>4500+21547+1620+3000</f>
        <v>30667</v>
      </c>
      <c r="L5" s="237">
        <f>K5/K7</f>
        <v>0.04348565910544354</v>
      </c>
    </row>
    <row r="6" spans="2:12" ht="15">
      <c r="B6" s="233" t="s">
        <v>168</v>
      </c>
      <c r="C6" s="234">
        <v>24567</v>
      </c>
      <c r="D6" s="235">
        <v>6.6</v>
      </c>
      <c r="E6" s="234">
        <v>95837</v>
      </c>
      <c r="F6" s="235">
        <v>19</v>
      </c>
      <c r="G6" s="234">
        <v>104258</v>
      </c>
      <c r="H6" s="235">
        <v>18.5</v>
      </c>
      <c r="I6" s="236">
        <v>115025</v>
      </c>
      <c r="J6" s="235">
        <v>20</v>
      </c>
      <c r="K6" s="234">
        <f>166903+5300</f>
        <v>172203</v>
      </c>
      <c r="L6" s="237">
        <f>K6/K7</f>
        <v>0.24418302914972753</v>
      </c>
    </row>
    <row r="7" spans="2:12" ht="15">
      <c r="B7" s="232" t="s">
        <v>27</v>
      </c>
      <c r="C7" s="238">
        <v>373239</v>
      </c>
      <c r="D7" s="239">
        <v>100</v>
      </c>
      <c r="E7" s="238">
        <v>499933</v>
      </c>
      <c r="F7" s="239">
        <v>100</v>
      </c>
      <c r="G7" s="238">
        <v>563060</v>
      </c>
      <c r="H7" s="239">
        <v>100</v>
      </c>
      <c r="I7" s="240">
        <v>582929</v>
      </c>
      <c r="J7" s="239">
        <v>100</v>
      </c>
      <c r="K7" s="238">
        <f>SUM(K3:K6)</f>
        <v>705221</v>
      </c>
      <c r="L7" s="241">
        <v>1</v>
      </c>
    </row>
    <row r="18" ht="15">
      <c r="F18" t="s"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4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4.8515625" style="0" customWidth="1"/>
    <col min="2" max="2" width="11.57421875" style="0" customWidth="1"/>
    <col min="4" max="4" width="14.8515625" style="0" customWidth="1"/>
    <col min="5" max="5" width="12.8515625" style="0" customWidth="1"/>
    <col min="6" max="6" width="11.28125" style="0" customWidth="1"/>
    <col min="7" max="7" width="13.140625" style="0" customWidth="1"/>
    <col min="8" max="8" width="12.28125" style="0" customWidth="1"/>
    <col min="9" max="9" width="13.28125" style="0" customWidth="1"/>
    <col min="10" max="10" width="10.7109375" style="0" customWidth="1"/>
    <col min="11" max="11" width="10.57421875" style="0" customWidth="1"/>
    <col min="12" max="12" width="10.421875" style="0" customWidth="1"/>
    <col min="13" max="13" width="12.421875" style="0" customWidth="1"/>
    <col min="14" max="14" width="11.00390625" style="0" customWidth="1"/>
    <col min="15" max="15" width="12.7109375" style="0" customWidth="1"/>
  </cols>
  <sheetData>
    <row r="1" spans="1:15" ht="15.75" thickBot="1">
      <c r="A1" s="132" t="s">
        <v>113</v>
      </c>
      <c r="B1" s="133"/>
      <c r="C1" s="132" t="s">
        <v>151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5">
      <c r="A2" s="258" t="s">
        <v>40</v>
      </c>
      <c r="B2" s="256"/>
      <c r="C2" s="254" t="s">
        <v>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6"/>
    </row>
    <row r="3" spans="1:15" ht="15.75" thickBot="1">
      <c r="A3" s="259" t="s">
        <v>42</v>
      </c>
      <c r="B3" s="260" t="s">
        <v>43</v>
      </c>
      <c r="C3" s="213" t="s">
        <v>44</v>
      </c>
      <c r="D3" s="213" t="s">
        <v>45</v>
      </c>
      <c r="E3" s="261"/>
      <c r="F3" s="261"/>
      <c r="G3" s="261"/>
      <c r="H3" s="214"/>
      <c r="I3" s="262"/>
      <c r="J3" s="262"/>
      <c r="K3" s="262"/>
      <c r="L3" s="262"/>
      <c r="M3" s="262"/>
      <c r="N3" s="262"/>
      <c r="O3" s="263"/>
    </row>
    <row r="4" spans="1:15" ht="15">
      <c r="A4" s="259"/>
      <c r="B4" s="260"/>
      <c r="C4" s="216" t="s">
        <v>46</v>
      </c>
      <c r="D4" s="215"/>
      <c r="E4" s="258">
        <v>6000000</v>
      </c>
      <c r="F4" s="254">
        <v>6010000</v>
      </c>
      <c r="G4" s="254">
        <v>6020000</v>
      </c>
      <c r="H4" s="254">
        <v>6030000</v>
      </c>
      <c r="I4" s="254">
        <v>6040000</v>
      </c>
      <c r="J4" s="254">
        <v>6060000</v>
      </c>
      <c r="K4" s="254">
        <v>6090000</v>
      </c>
      <c r="L4" s="254">
        <v>2300000</v>
      </c>
      <c r="M4" s="254">
        <v>2310000</v>
      </c>
      <c r="N4" s="189"/>
      <c r="O4" s="256" t="s">
        <v>27</v>
      </c>
    </row>
    <row r="5" spans="1:15" ht="15.75" thickBot="1">
      <c r="A5" s="23"/>
      <c r="B5" s="218"/>
      <c r="C5" s="217"/>
      <c r="D5" s="137"/>
      <c r="E5" s="264"/>
      <c r="F5" s="255"/>
      <c r="G5" s="255"/>
      <c r="H5" s="255"/>
      <c r="I5" s="255"/>
      <c r="J5" s="255"/>
      <c r="K5" s="255"/>
      <c r="L5" s="255"/>
      <c r="M5" s="255"/>
      <c r="N5" s="138">
        <v>1661300</v>
      </c>
      <c r="O5" s="257"/>
    </row>
    <row r="6" spans="1:15" ht="15">
      <c r="A6" s="39"/>
      <c r="B6" s="40"/>
      <c r="C6" s="52" t="s">
        <v>47</v>
      </c>
      <c r="D6" s="53" t="s">
        <v>48</v>
      </c>
      <c r="E6" s="118">
        <v>78881927</v>
      </c>
      <c r="F6" s="118">
        <v>12589830</v>
      </c>
      <c r="G6" s="118">
        <f>52112000+5300000+2551741+117000-3801000</f>
        <v>56279741</v>
      </c>
      <c r="H6" s="118"/>
      <c r="I6" s="118">
        <f>13034000+2238000</f>
        <v>15272000</v>
      </c>
      <c r="J6" s="118">
        <f>660000+20000</f>
        <v>680000</v>
      </c>
      <c r="K6" s="118"/>
      <c r="L6" s="118">
        <v>5300000</v>
      </c>
      <c r="M6" s="118">
        <f>2170000+821200</f>
        <v>2991200</v>
      </c>
      <c r="N6" s="118"/>
      <c r="O6" s="119">
        <f>SUM(E6:M6)</f>
        <v>171994698</v>
      </c>
    </row>
    <row r="7" spans="1:15" ht="15">
      <c r="A7" s="43"/>
      <c r="B7" s="25"/>
      <c r="C7" s="27" t="s">
        <v>137</v>
      </c>
      <c r="D7" s="54" t="s">
        <v>48</v>
      </c>
      <c r="E7" s="120"/>
      <c r="F7" s="120"/>
      <c r="G7" s="120"/>
      <c r="H7" s="120"/>
      <c r="I7" s="120"/>
      <c r="J7" s="120"/>
      <c r="K7" s="120"/>
      <c r="L7" s="120"/>
      <c r="M7" s="120"/>
      <c r="N7" s="120">
        <v>4200000</v>
      </c>
      <c r="O7" s="121">
        <f>SUM(E7:N7)</f>
        <v>4200000</v>
      </c>
    </row>
    <row r="8" spans="1:15" ht="15">
      <c r="A8" s="43"/>
      <c r="B8" s="25"/>
      <c r="C8" s="27" t="s">
        <v>128</v>
      </c>
      <c r="D8" s="54" t="s">
        <v>91</v>
      </c>
      <c r="E8" s="120">
        <v>200055</v>
      </c>
      <c r="F8" s="120">
        <v>26985</v>
      </c>
      <c r="G8" s="120">
        <v>812162</v>
      </c>
      <c r="H8" s="120"/>
      <c r="I8" s="120">
        <v>275000</v>
      </c>
      <c r="J8" s="120"/>
      <c r="K8" s="120"/>
      <c r="L8" s="120"/>
      <c r="M8" s="120">
        <v>444000</v>
      </c>
      <c r="N8" s="120"/>
      <c r="O8" s="121">
        <f aca="true" t="shared" si="0" ref="O8:O41">SUM(E8:M8)</f>
        <v>1758202</v>
      </c>
    </row>
    <row r="9" spans="1:15" ht="15">
      <c r="A9" s="43" t="s">
        <v>69</v>
      </c>
      <c r="B9" s="25"/>
      <c r="C9" s="27" t="s">
        <v>49</v>
      </c>
      <c r="D9" s="54" t="s">
        <v>50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>
        <f t="shared" si="0"/>
        <v>0</v>
      </c>
    </row>
    <row r="10" spans="1:15" ht="15">
      <c r="A10" s="43"/>
      <c r="B10" s="25"/>
      <c r="C10" s="27" t="s">
        <v>49</v>
      </c>
      <c r="D10" s="54" t="s">
        <v>91</v>
      </c>
      <c r="E10" s="120"/>
      <c r="F10" s="120"/>
      <c r="G10" s="120"/>
      <c r="H10" s="120"/>
      <c r="I10" s="120"/>
      <c r="J10" s="120"/>
      <c r="K10" s="120"/>
      <c r="L10" s="120"/>
      <c r="M10" s="120">
        <f>47678859.91+10647933+83467000-400000-647508-100000+1000000-8805906-5869512+2200000+2800000+1721518-1000000</f>
        <v>132692384.91</v>
      </c>
      <c r="N10" s="120"/>
      <c r="O10" s="121">
        <f t="shared" si="0"/>
        <v>132692384.91</v>
      </c>
    </row>
    <row r="11" spans="1:15" ht="15">
      <c r="A11" s="43"/>
      <c r="B11" s="25"/>
      <c r="C11" s="27" t="s">
        <v>51</v>
      </c>
      <c r="D11" s="54" t="s">
        <v>91</v>
      </c>
      <c r="E11" s="120"/>
      <c r="F11" s="120"/>
      <c r="G11" s="120"/>
      <c r="H11" s="120"/>
      <c r="I11" s="120"/>
      <c r="J11" s="120"/>
      <c r="K11" s="120"/>
      <c r="L11" s="120"/>
      <c r="M11" s="120">
        <v>647508</v>
      </c>
      <c r="N11" s="120"/>
      <c r="O11" s="121">
        <f t="shared" si="0"/>
        <v>647508</v>
      </c>
    </row>
    <row r="12" spans="1:15" ht="15">
      <c r="A12" s="43"/>
      <c r="B12" s="25"/>
      <c r="C12" s="27" t="s">
        <v>49</v>
      </c>
      <c r="D12" s="54" t="s">
        <v>92</v>
      </c>
      <c r="E12" s="120"/>
      <c r="F12" s="120"/>
      <c r="G12" s="120"/>
      <c r="H12" s="120"/>
      <c r="I12" s="120"/>
      <c r="J12" s="120"/>
      <c r="K12" s="120"/>
      <c r="L12" s="120"/>
      <c r="M12" s="120">
        <v>1383556</v>
      </c>
      <c r="N12" s="120"/>
      <c r="O12" s="121">
        <f t="shared" si="0"/>
        <v>1383556</v>
      </c>
    </row>
    <row r="13" spans="1:15" ht="15">
      <c r="A13" s="136" t="s">
        <v>133</v>
      </c>
      <c r="B13" s="116">
        <f>397046800+3000000+3000000</f>
        <v>403046800</v>
      </c>
      <c r="C13" s="27" t="s">
        <v>52</v>
      </c>
      <c r="D13" s="54" t="s">
        <v>48</v>
      </c>
      <c r="E13" s="120"/>
      <c r="F13" s="120"/>
      <c r="G13" s="120"/>
      <c r="H13" s="120"/>
      <c r="I13" s="120"/>
      <c r="J13" s="120"/>
      <c r="K13" s="120"/>
      <c r="L13" s="120"/>
      <c r="M13" s="120">
        <f>2000000+272512+857122</f>
        <v>3129634</v>
      </c>
      <c r="N13" s="120"/>
      <c r="O13" s="121">
        <f t="shared" si="0"/>
        <v>3129634</v>
      </c>
    </row>
    <row r="14" spans="1:15" ht="24.75" customHeight="1">
      <c r="A14" s="43" t="s">
        <v>134</v>
      </c>
      <c r="B14" s="117">
        <f>17272000+50000+50000</f>
        <v>17372000</v>
      </c>
      <c r="C14" s="27" t="s">
        <v>47</v>
      </c>
      <c r="D14" s="54" t="s">
        <v>55</v>
      </c>
      <c r="E14" s="120"/>
      <c r="F14" s="120"/>
      <c r="G14" s="120">
        <v>4830000</v>
      </c>
      <c r="H14" s="120"/>
      <c r="I14" s="120"/>
      <c r="J14" s="120"/>
      <c r="K14" s="120"/>
      <c r="L14" s="120"/>
      <c r="M14" s="120"/>
      <c r="N14" s="120"/>
      <c r="O14" s="121">
        <f t="shared" si="0"/>
        <v>4830000</v>
      </c>
    </row>
    <row r="15" spans="1:15" ht="15.75" customHeight="1">
      <c r="A15" s="45" t="s">
        <v>135</v>
      </c>
      <c r="B15" s="116">
        <f>172460000-5173000</f>
        <v>167287000</v>
      </c>
      <c r="C15" s="27" t="s">
        <v>51</v>
      </c>
      <c r="D15" s="54" t="s">
        <v>57</v>
      </c>
      <c r="E15" s="120">
        <v>4057000</v>
      </c>
      <c r="F15" s="120">
        <v>646000</v>
      </c>
      <c r="G15" s="120">
        <v>1510000</v>
      </c>
      <c r="H15" s="120"/>
      <c r="I15" s="120"/>
      <c r="J15" s="120"/>
      <c r="K15" s="120"/>
      <c r="L15" s="120"/>
      <c r="M15" s="120"/>
      <c r="N15" s="120"/>
      <c r="O15" s="121">
        <f t="shared" si="0"/>
        <v>6213000</v>
      </c>
    </row>
    <row r="16" spans="1:15" ht="25.5" customHeight="1">
      <c r="A16" s="125" t="s">
        <v>93</v>
      </c>
      <c r="B16" s="116">
        <v>23776307</v>
      </c>
      <c r="C16" s="27" t="s">
        <v>51</v>
      </c>
      <c r="D16" s="55" t="s">
        <v>59</v>
      </c>
      <c r="E16" s="120">
        <v>8505000</v>
      </c>
      <c r="F16" s="120">
        <v>1353000</v>
      </c>
      <c r="G16" s="120">
        <f>31550000+945486</f>
        <v>32495486</v>
      </c>
      <c r="H16" s="120"/>
      <c r="I16" s="120"/>
      <c r="J16" s="120">
        <v>319400</v>
      </c>
      <c r="K16" s="120"/>
      <c r="L16" s="120"/>
      <c r="M16" s="120">
        <v>980000</v>
      </c>
      <c r="N16" s="120"/>
      <c r="O16" s="121">
        <f t="shared" si="0"/>
        <v>43652886</v>
      </c>
    </row>
    <row r="17" spans="1:15" ht="15">
      <c r="A17" s="47" t="s">
        <v>136</v>
      </c>
      <c r="B17" s="116">
        <v>88665757.08</v>
      </c>
      <c r="C17" s="27" t="s">
        <v>60</v>
      </c>
      <c r="D17" s="55" t="s">
        <v>61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>
        <f t="shared" si="0"/>
        <v>0</v>
      </c>
    </row>
    <row r="18" spans="1:15" ht="15">
      <c r="A18" s="46"/>
      <c r="B18" s="116"/>
      <c r="C18" s="27" t="s">
        <v>62</v>
      </c>
      <c r="D18" s="55" t="s">
        <v>63</v>
      </c>
      <c r="E18" s="120"/>
      <c r="F18" s="120"/>
      <c r="G18" s="120">
        <f>317701+7200000</f>
        <v>7517701</v>
      </c>
      <c r="H18" s="120"/>
      <c r="I18" s="120"/>
      <c r="J18" s="120"/>
      <c r="K18" s="120"/>
      <c r="L18" s="120"/>
      <c r="M18" s="120">
        <v>200000</v>
      </c>
      <c r="N18" s="120"/>
      <c r="O18" s="121">
        <f t="shared" si="0"/>
        <v>7717701</v>
      </c>
    </row>
    <row r="19" spans="1:15" ht="15">
      <c r="A19" s="47"/>
      <c r="B19" s="116"/>
      <c r="C19" s="27" t="s">
        <v>64</v>
      </c>
      <c r="D19" s="54" t="s">
        <v>36</v>
      </c>
      <c r="E19" s="120">
        <v>10815000</v>
      </c>
      <c r="F19" s="120">
        <v>1720000</v>
      </c>
      <c r="G19" s="120">
        <f>13800000+68104</f>
        <v>13868104</v>
      </c>
      <c r="H19" s="120"/>
      <c r="I19" s="120"/>
      <c r="J19" s="120"/>
      <c r="K19" s="120"/>
      <c r="L19" s="120"/>
      <c r="M19" s="120">
        <v>200000</v>
      </c>
      <c r="N19" s="120"/>
      <c r="O19" s="121">
        <f t="shared" si="0"/>
        <v>26603104</v>
      </c>
    </row>
    <row r="20" spans="1:15" ht="15">
      <c r="A20" s="43"/>
      <c r="B20" s="116"/>
      <c r="C20" s="27" t="s">
        <v>65</v>
      </c>
      <c r="D20" s="54" t="s">
        <v>66</v>
      </c>
      <c r="E20" s="120">
        <v>6174228</v>
      </c>
      <c r="F20" s="120">
        <v>981519</v>
      </c>
      <c r="G20" s="120">
        <v>12382000</v>
      </c>
      <c r="H20" s="120"/>
      <c r="I20" s="120"/>
      <c r="J20" s="120"/>
      <c r="K20" s="120"/>
      <c r="L20" s="120"/>
      <c r="M20" s="120"/>
      <c r="N20" s="120"/>
      <c r="O20" s="121">
        <f t="shared" si="0"/>
        <v>19537747</v>
      </c>
    </row>
    <row r="21" spans="1:15" ht="15">
      <c r="A21" s="43"/>
      <c r="B21" s="116"/>
      <c r="C21" s="27" t="s">
        <v>67</v>
      </c>
      <c r="D21" s="54" t="s">
        <v>68</v>
      </c>
      <c r="E21" s="120"/>
      <c r="F21" s="120"/>
      <c r="G21" s="120"/>
      <c r="H21" s="120"/>
      <c r="I21" s="120"/>
      <c r="J21" s="120"/>
      <c r="K21" s="120"/>
      <c r="L21" s="120"/>
      <c r="M21" s="120">
        <f>50059.5+600000</f>
        <v>650059.5</v>
      </c>
      <c r="N21" s="120"/>
      <c r="O21" s="121">
        <f t="shared" si="0"/>
        <v>650059.5</v>
      </c>
    </row>
    <row r="22" spans="1:15" ht="15">
      <c r="A22" s="46" t="s">
        <v>69</v>
      </c>
      <c r="B22" s="116"/>
      <c r="C22" s="27" t="s">
        <v>65</v>
      </c>
      <c r="D22" s="54" t="s">
        <v>70</v>
      </c>
      <c r="E22" s="120">
        <v>3558000</v>
      </c>
      <c r="F22" s="120">
        <v>568000</v>
      </c>
      <c r="G22" s="120">
        <f>1600000+10330000</f>
        <v>11930000</v>
      </c>
      <c r="H22" s="120"/>
      <c r="I22" s="120"/>
      <c r="J22" s="120"/>
      <c r="K22" s="120"/>
      <c r="L22" s="120"/>
      <c r="M22" s="120">
        <v>1400000</v>
      </c>
      <c r="N22" s="120"/>
      <c r="O22" s="121">
        <f t="shared" si="0"/>
        <v>17456000</v>
      </c>
    </row>
    <row r="23" spans="1:15" ht="15">
      <c r="A23" s="46"/>
      <c r="B23" s="116"/>
      <c r="C23" s="27" t="s">
        <v>67</v>
      </c>
      <c r="D23" s="54" t="s">
        <v>129</v>
      </c>
      <c r="E23" s="120"/>
      <c r="F23" s="120"/>
      <c r="G23" s="120">
        <v>200</v>
      </c>
      <c r="H23" s="120"/>
      <c r="I23" s="120"/>
      <c r="J23" s="120"/>
      <c r="K23" s="120"/>
      <c r="L23" s="120"/>
      <c r="M23" s="120"/>
      <c r="N23" s="120"/>
      <c r="O23" s="121">
        <f t="shared" si="0"/>
        <v>200</v>
      </c>
    </row>
    <row r="24" spans="1:15" ht="15">
      <c r="A24" s="46"/>
      <c r="B24" s="116"/>
      <c r="C24" s="27" t="s">
        <v>71</v>
      </c>
      <c r="D24" s="54" t="s">
        <v>72</v>
      </c>
      <c r="E24" s="120">
        <v>6256000</v>
      </c>
      <c r="F24" s="120">
        <v>995000</v>
      </c>
      <c r="G24" s="120">
        <f>1520000+15755000+100000</f>
        <v>17375000</v>
      </c>
      <c r="H24" s="120"/>
      <c r="I24" s="120"/>
      <c r="J24" s="120"/>
      <c r="K24" s="120"/>
      <c r="L24" s="120"/>
      <c r="M24" s="120">
        <f>137000+630000+1000000+480000</f>
        <v>2247000</v>
      </c>
      <c r="N24" s="120"/>
      <c r="O24" s="121">
        <f t="shared" si="0"/>
        <v>26873000</v>
      </c>
    </row>
    <row r="25" spans="1:15" ht="15">
      <c r="A25" s="46"/>
      <c r="B25" s="116"/>
      <c r="C25" s="27" t="s">
        <v>73</v>
      </c>
      <c r="D25" s="54" t="s">
        <v>74</v>
      </c>
      <c r="E25" s="120"/>
      <c r="F25" s="120"/>
      <c r="G25" s="120">
        <v>6238</v>
      </c>
      <c r="H25" s="120"/>
      <c r="I25" s="120"/>
      <c r="J25" s="120"/>
      <c r="K25" s="120"/>
      <c r="L25" s="120"/>
      <c r="M25" s="120"/>
      <c r="N25" s="120"/>
      <c r="O25" s="121">
        <f t="shared" si="0"/>
        <v>6238</v>
      </c>
    </row>
    <row r="26" spans="1:15" ht="15">
      <c r="A26" s="46"/>
      <c r="B26" s="116"/>
      <c r="C26" s="27" t="s">
        <v>71</v>
      </c>
      <c r="D26" s="54" t="s">
        <v>9</v>
      </c>
      <c r="E26" s="120">
        <v>10586000</v>
      </c>
      <c r="F26" s="120">
        <v>1690000</v>
      </c>
      <c r="G26" s="120">
        <v>9679000</v>
      </c>
      <c r="H26" s="120"/>
      <c r="I26" s="120"/>
      <c r="J26" s="120"/>
      <c r="K26" s="120"/>
      <c r="L26" s="120"/>
      <c r="M26" s="120"/>
      <c r="N26" s="120"/>
      <c r="O26" s="121">
        <f t="shared" si="0"/>
        <v>21955000</v>
      </c>
    </row>
    <row r="27" spans="1:15" ht="15">
      <c r="A27" s="46"/>
      <c r="B27" s="116"/>
      <c r="C27" s="27" t="s">
        <v>47</v>
      </c>
      <c r="D27" s="54" t="s">
        <v>11</v>
      </c>
      <c r="E27" s="120"/>
      <c r="F27" s="120"/>
      <c r="G27" s="120"/>
      <c r="H27" s="120"/>
      <c r="I27" s="120"/>
      <c r="J27" s="120"/>
      <c r="K27" s="120"/>
      <c r="L27" s="120"/>
      <c r="M27" s="120">
        <f>450000+12550358+1693+3500</f>
        <v>13005551</v>
      </c>
      <c r="N27" s="120"/>
      <c r="O27" s="121">
        <f t="shared" si="0"/>
        <v>13005551</v>
      </c>
    </row>
    <row r="28" spans="1:15" ht="15">
      <c r="A28" s="46"/>
      <c r="B28" s="116"/>
      <c r="C28" s="27" t="s">
        <v>71</v>
      </c>
      <c r="D28" s="54" t="s">
        <v>75</v>
      </c>
      <c r="E28" s="120">
        <v>5891000</v>
      </c>
      <c r="F28" s="120">
        <v>937000</v>
      </c>
      <c r="G28" s="120">
        <v>2275000</v>
      </c>
      <c r="H28" s="120"/>
      <c r="I28" s="120"/>
      <c r="J28" s="120"/>
      <c r="K28" s="120"/>
      <c r="L28" s="120"/>
      <c r="M28" s="120">
        <f>331850+1100000</f>
        <v>1431850</v>
      </c>
      <c r="N28" s="120"/>
      <c r="O28" s="121">
        <f t="shared" si="0"/>
        <v>10534850</v>
      </c>
    </row>
    <row r="29" spans="1:15" ht="15">
      <c r="A29" s="46"/>
      <c r="B29" s="116"/>
      <c r="C29" s="27" t="s">
        <v>52</v>
      </c>
      <c r="D29" s="54" t="s">
        <v>76</v>
      </c>
      <c r="E29" s="120">
        <v>38361000</v>
      </c>
      <c r="F29" s="120">
        <v>6081000</v>
      </c>
      <c r="G29" s="120">
        <f>50969630+3011000+125000</f>
        <v>54105630</v>
      </c>
      <c r="H29" s="120"/>
      <c r="I29" s="120"/>
      <c r="J29" s="120"/>
      <c r="K29" s="120"/>
      <c r="L29" s="120"/>
      <c r="M29" s="120">
        <f>32000+4318000</f>
        <v>4350000</v>
      </c>
      <c r="N29" s="120"/>
      <c r="O29" s="121">
        <f t="shared" si="0"/>
        <v>102897630</v>
      </c>
    </row>
    <row r="30" spans="1:15" ht="15">
      <c r="A30" s="48"/>
      <c r="B30" s="117"/>
      <c r="C30" s="27" t="s">
        <v>52</v>
      </c>
      <c r="D30" s="54" t="s">
        <v>81</v>
      </c>
      <c r="E30" s="120">
        <v>496081</v>
      </c>
      <c r="F30" s="120">
        <v>78900</v>
      </c>
      <c r="G30" s="120">
        <f>2695564+59284229</f>
        <v>61979793</v>
      </c>
      <c r="H30" s="120"/>
      <c r="I30" s="120"/>
      <c r="J30" s="120"/>
      <c r="K30" s="120"/>
      <c r="L30" s="120"/>
      <c r="M30" s="120"/>
      <c r="N30" s="120"/>
      <c r="O30" s="121">
        <f t="shared" si="0"/>
        <v>62554774</v>
      </c>
    </row>
    <row r="31" spans="1:15" ht="15">
      <c r="A31" s="48"/>
      <c r="B31" s="117"/>
      <c r="C31" s="27" t="s">
        <v>52</v>
      </c>
      <c r="D31" s="54" t="s">
        <v>82</v>
      </c>
      <c r="E31" s="120"/>
      <c r="F31" s="120"/>
      <c r="G31" s="120">
        <v>4223113</v>
      </c>
      <c r="H31" s="120"/>
      <c r="I31" s="120"/>
      <c r="J31" s="120"/>
      <c r="K31" s="120"/>
      <c r="L31" s="120"/>
      <c r="M31" s="120"/>
      <c r="N31" s="120"/>
      <c r="O31" s="121">
        <f t="shared" si="0"/>
        <v>4223113</v>
      </c>
    </row>
    <row r="32" spans="1:15" ht="15">
      <c r="A32" s="48"/>
      <c r="B32" s="117"/>
      <c r="C32" s="27" t="s">
        <v>79</v>
      </c>
      <c r="D32" s="54" t="s">
        <v>18</v>
      </c>
      <c r="E32" s="120"/>
      <c r="F32" s="120"/>
      <c r="G32" s="120"/>
      <c r="H32" s="120">
        <v>4500000</v>
      </c>
      <c r="I32" s="120"/>
      <c r="J32" s="120"/>
      <c r="K32" s="120"/>
      <c r="L32" s="120"/>
      <c r="M32" s="120"/>
      <c r="N32" s="120"/>
      <c r="O32" s="121">
        <f t="shared" si="0"/>
        <v>4500000</v>
      </c>
    </row>
    <row r="33" spans="1:15" ht="15">
      <c r="A33" s="48"/>
      <c r="B33" s="117"/>
      <c r="C33" s="27" t="s">
        <v>83</v>
      </c>
      <c r="D33" s="54" t="s">
        <v>21</v>
      </c>
      <c r="E33" s="120"/>
      <c r="F33" s="120"/>
      <c r="G33" s="120"/>
      <c r="H33" s="120"/>
      <c r="I33" s="120"/>
      <c r="J33" s="120"/>
      <c r="K33" s="120">
        <f>3000000-372000</f>
        <v>2628000</v>
      </c>
      <c r="L33" s="120"/>
      <c r="M33" s="120"/>
      <c r="N33" s="120"/>
      <c r="O33" s="121">
        <f t="shared" si="0"/>
        <v>2628000</v>
      </c>
    </row>
    <row r="34" spans="1:15" ht="15">
      <c r="A34" s="48"/>
      <c r="B34" s="117"/>
      <c r="C34" s="27" t="s">
        <v>83</v>
      </c>
      <c r="D34" s="54" t="s">
        <v>138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>
        <f t="shared" si="0"/>
        <v>0</v>
      </c>
    </row>
    <row r="35" spans="1:15" ht="15">
      <c r="A35" s="48"/>
      <c r="B35" s="117"/>
      <c r="C35" s="27" t="s">
        <v>47</v>
      </c>
      <c r="D35" s="54" t="s">
        <v>139</v>
      </c>
      <c r="E35" s="120"/>
      <c r="F35" s="120"/>
      <c r="G35" s="120"/>
      <c r="H35" s="120"/>
      <c r="I35" s="120">
        <v>6000000</v>
      </c>
      <c r="J35" s="120"/>
      <c r="K35" s="120"/>
      <c r="L35" s="120"/>
      <c r="M35" s="120"/>
      <c r="N35" s="120"/>
      <c r="O35" s="121">
        <f t="shared" si="0"/>
        <v>6000000</v>
      </c>
    </row>
    <row r="36" spans="1:15" ht="15">
      <c r="A36" s="48"/>
      <c r="B36" s="117"/>
      <c r="C36" s="27" t="s">
        <v>83</v>
      </c>
      <c r="D36" s="54" t="s">
        <v>85</v>
      </c>
      <c r="E36" s="120"/>
      <c r="F36" s="120"/>
      <c r="G36" s="120"/>
      <c r="H36" s="120"/>
      <c r="I36" s="120"/>
      <c r="J36" s="120">
        <f>120000+500000</f>
        <v>620000</v>
      </c>
      <c r="K36" s="120"/>
      <c r="L36" s="120"/>
      <c r="M36" s="120"/>
      <c r="N36" s="120"/>
      <c r="O36" s="121">
        <f t="shared" si="0"/>
        <v>620000</v>
      </c>
    </row>
    <row r="37" spans="1:15" ht="15">
      <c r="A37" s="48"/>
      <c r="B37" s="117"/>
      <c r="C37" s="27" t="s">
        <v>87</v>
      </c>
      <c r="D37" s="54" t="s">
        <v>37</v>
      </c>
      <c r="E37" s="120"/>
      <c r="F37" s="120"/>
      <c r="G37" s="120">
        <f>65478+300000+50000</f>
        <v>415478</v>
      </c>
      <c r="H37" s="120"/>
      <c r="I37" s="120"/>
      <c r="J37" s="120"/>
      <c r="K37" s="120"/>
      <c r="L37" s="120"/>
      <c r="M37" s="120">
        <v>50000</v>
      </c>
      <c r="N37" s="120"/>
      <c r="O37" s="121">
        <f t="shared" si="0"/>
        <v>465478</v>
      </c>
    </row>
    <row r="38" spans="1:15" ht="15">
      <c r="A38" s="48"/>
      <c r="B38" s="117"/>
      <c r="C38" s="27" t="s">
        <v>119</v>
      </c>
      <c r="D38" s="54" t="s">
        <v>130</v>
      </c>
      <c r="E38" s="120"/>
      <c r="F38" s="120"/>
      <c r="G38" s="120">
        <v>5024</v>
      </c>
      <c r="H38" s="120"/>
      <c r="I38" s="120"/>
      <c r="J38" s="120"/>
      <c r="K38" s="120"/>
      <c r="L38" s="120"/>
      <c r="M38" s="120"/>
      <c r="N38" s="120"/>
      <c r="O38" s="121">
        <f t="shared" si="0"/>
        <v>5024</v>
      </c>
    </row>
    <row r="39" spans="1:15" ht="15">
      <c r="A39" s="48"/>
      <c r="B39" s="117"/>
      <c r="C39" s="27" t="s">
        <v>87</v>
      </c>
      <c r="D39" s="54" t="s">
        <v>88</v>
      </c>
      <c r="E39" s="120"/>
      <c r="F39" s="120"/>
      <c r="G39" s="120">
        <f>200104+500000</f>
        <v>700104</v>
      </c>
      <c r="H39" s="120"/>
      <c r="I39" s="120"/>
      <c r="J39" s="120"/>
      <c r="K39" s="120"/>
      <c r="L39" s="120"/>
      <c r="M39" s="120">
        <v>100000</v>
      </c>
      <c r="N39" s="120"/>
      <c r="O39" s="121">
        <f t="shared" si="0"/>
        <v>800104</v>
      </c>
    </row>
    <row r="40" spans="1:15" ht="15">
      <c r="A40" s="48"/>
      <c r="B40" s="117"/>
      <c r="C40" s="27" t="s">
        <v>87</v>
      </c>
      <c r="D40" s="54" t="s">
        <v>120</v>
      </c>
      <c r="E40" s="120"/>
      <c r="F40" s="120"/>
      <c r="G40" s="120">
        <f>900+374865+50000</f>
        <v>425765</v>
      </c>
      <c r="H40" s="120"/>
      <c r="I40" s="120"/>
      <c r="J40" s="120"/>
      <c r="K40" s="120"/>
      <c r="L40" s="120"/>
      <c r="M40" s="120"/>
      <c r="N40" s="120"/>
      <c r="O40" s="121">
        <f t="shared" si="0"/>
        <v>425765</v>
      </c>
    </row>
    <row r="41" spans="1:15" ht="15.75" thickBot="1">
      <c r="A41" s="23"/>
      <c r="B41" s="210"/>
      <c r="C41" s="56" t="s">
        <v>119</v>
      </c>
      <c r="D41" s="57" t="s">
        <v>120</v>
      </c>
      <c r="E41" s="211"/>
      <c r="F41" s="211"/>
      <c r="G41" s="211">
        <v>186656.67</v>
      </c>
      <c r="H41" s="211"/>
      <c r="I41" s="211"/>
      <c r="J41" s="211"/>
      <c r="K41" s="211"/>
      <c r="L41" s="211"/>
      <c r="M41" s="211"/>
      <c r="N41" s="211"/>
      <c r="O41" s="212">
        <f t="shared" si="0"/>
        <v>186656.67</v>
      </c>
    </row>
    <row r="42" spans="1:15" ht="15.75" thickBot="1">
      <c r="A42" s="201" t="s">
        <v>89</v>
      </c>
      <c r="B42" s="207">
        <f>SUM(B6:B36)</f>
        <v>700147864.08</v>
      </c>
      <c r="C42" s="203"/>
      <c r="D42" s="204" t="s">
        <v>90</v>
      </c>
      <c r="E42" s="208">
        <f aca="true" t="shared" si="1" ref="E42:O42">SUM(E6:E41)</f>
        <v>173781291</v>
      </c>
      <c r="F42" s="208">
        <f t="shared" si="1"/>
        <v>27667234</v>
      </c>
      <c r="G42" s="208">
        <f t="shared" si="1"/>
        <v>293002195.67</v>
      </c>
      <c r="H42" s="208">
        <f t="shared" si="1"/>
        <v>4500000</v>
      </c>
      <c r="I42" s="208">
        <f t="shared" si="1"/>
        <v>21547000</v>
      </c>
      <c r="J42" s="208">
        <f t="shared" si="1"/>
        <v>1619400</v>
      </c>
      <c r="K42" s="208">
        <f t="shared" si="1"/>
        <v>2628000</v>
      </c>
      <c r="L42" s="208">
        <f t="shared" si="1"/>
        <v>5300000</v>
      </c>
      <c r="M42" s="208">
        <f t="shared" si="1"/>
        <v>165902743.41</v>
      </c>
      <c r="N42" s="208">
        <f t="shared" si="1"/>
        <v>4200000</v>
      </c>
      <c r="O42" s="209">
        <f t="shared" si="1"/>
        <v>700147864.0799999</v>
      </c>
    </row>
    <row r="43" spans="1:15" ht="15.75">
      <c r="A43" s="223" t="s">
        <v>31</v>
      </c>
      <c r="B43" s="224"/>
      <c r="C43" s="224"/>
      <c r="D43" s="224"/>
      <c r="E43" s="224"/>
      <c r="F43" s="224"/>
      <c r="G43" s="224" t="s">
        <v>32</v>
      </c>
      <c r="H43" s="224"/>
      <c r="I43" s="130"/>
      <c r="J43" s="130"/>
      <c r="K43" s="130"/>
      <c r="L43" s="130"/>
      <c r="M43" s="131"/>
      <c r="N43" s="131"/>
      <c r="O43" s="131"/>
    </row>
    <row r="44" spans="1:15" ht="15.75">
      <c r="A44" s="225" t="s">
        <v>33</v>
      </c>
      <c r="B44" s="225"/>
      <c r="C44" s="225"/>
      <c r="D44" s="225"/>
      <c r="E44" s="225"/>
      <c r="F44" s="226"/>
      <c r="G44" s="225" t="s">
        <v>34</v>
      </c>
      <c r="H44" s="225"/>
      <c r="I44" s="132"/>
      <c r="J44" s="132"/>
      <c r="K44" s="132"/>
      <c r="L44" s="133"/>
      <c r="M44" s="133"/>
      <c r="N44" s="133"/>
      <c r="O44" s="133"/>
    </row>
    <row r="45" spans="1:8" ht="15.75">
      <c r="A45" s="227"/>
      <c r="B45" s="227"/>
      <c r="C45" s="227"/>
      <c r="D45" s="227"/>
      <c r="E45" s="227"/>
      <c r="F45" s="227"/>
      <c r="G45" s="227"/>
      <c r="H45" s="227"/>
    </row>
    <row r="49" ht="15">
      <c r="I49" s="139"/>
    </row>
  </sheetData>
  <sheetProtection/>
  <mergeCells count="16">
    <mergeCell ref="I4:I5"/>
    <mergeCell ref="J4:J5"/>
    <mergeCell ref="K4:K5"/>
    <mergeCell ref="L4:L5"/>
    <mergeCell ref="M4:M5"/>
    <mergeCell ref="O4:O5"/>
    <mergeCell ref="A2:B2"/>
    <mergeCell ref="C2:O2"/>
    <mergeCell ref="A3:A4"/>
    <mergeCell ref="B3:B4"/>
    <mergeCell ref="E3:G3"/>
    <mergeCell ref="I3:O3"/>
    <mergeCell ref="E4:E5"/>
    <mergeCell ref="F4:F5"/>
    <mergeCell ref="G4:G5"/>
    <mergeCell ref="H4:H5"/>
  </mergeCells>
  <printOptions/>
  <pageMargins left="0.32" right="0.26" top="0.17" bottom="0.17" header="0.17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J50"/>
  <sheetViews>
    <sheetView zoomScale="90" zoomScaleNormal="90" zoomScalePageLayoutView="0" workbookViewId="0" topLeftCell="A25">
      <selection activeCell="R39" sqref="R39"/>
    </sheetView>
  </sheetViews>
  <sheetFormatPr defaultColWidth="9.140625" defaultRowHeight="15"/>
  <cols>
    <col min="1" max="1" width="2.7109375" style="0" customWidth="1"/>
    <col min="2" max="2" width="18.140625" style="0" customWidth="1"/>
    <col min="3" max="3" width="7.57421875" style="0" bestFit="1" customWidth="1"/>
    <col min="4" max="4" width="7.57421875" style="0" customWidth="1"/>
    <col min="5" max="5" width="5.140625" style="0" customWidth="1"/>
    <col min="6" max="7" width="7.57421875" style="0" customWidth="1"/>
    <col min="8" max="8" width="9.8515625" style="0" customWidth="1"/>
    <col min="9" max="9" width="7.140625" style="0" bestFit="1" customWidth="1"/>
    <col min="10" max="10" width="5.421875" style="0" customWidth="1"/>
    <col min="11" max="11" width="4.140625" style="0" customWidth="1"/>
    <col min="12" max="13" width="6.421875" style="0" customWidth="1"/>
    <col min="14" max="14" width="9.28125" style="0" customWidth="1"/>
    <col min="15" max="15" width="7.8515625" style="0" bestFit="1" customWidth="1"/>
    <col min="16" max="16" width="8.421875" style="0" customWidth="1"/>
    <col min="17" max="17" width="5.57421875" style="0" customWidth="1"/>
    <col min="18" max="19" width="7.57421875" style="0" customWidth="1"/>
    <col min="20" max="20" width="10.8515625" style="0" customWidth="1"/>
    <col min="21" max="21" width="7.8515625" style="0" customWidth="1"/>
    <col min="22" max="22" width="5.57421875" style="0" customWidth="1"/>
    <col min="23" max="23" width="7.421875" style="0" customWidth="1"/>
    <col min="24" max="24" width="7.00390625" style="0" customWidth="1"/>
    <col min="25" max="26" width="9.7109375" style="0" customWidth="1"/>
    <col min="27" max="27" width="7.140625" style="0" bestFit="1" customWidth="1"/>
    <col min="28" max="28" width="5.140625" style="0" customWidth="1"/>
    <col min="29" max="29" width="7.421875" style="0" customWidth="1"/>
    <col min="30" max="31" width="6.57421875" style="0" customWidth="1"/>
    <col min="32" max="32" width="9.57421875" style="0" customWidth="1"/>
    <col min="33" max="33" width="7.00390625" style="0" customWidth="1"/>
    <col min="34" max="34" width="4.8515625" style="0" customWidth="1"/>
    <col min="35" max="35" width="8.140625" style="0" customWidth="1"/>
    <col min="36" max="37" width="5.57421875" style="0" customWidth="1"/>
    <col min="38" max="38" width="7.57421875" style="0" customWidth="1"/>
    <col min="39" max="39" width="5.421875" style="0" customWidth="1"/>
    <col min="40" max="40" width="4.7109375" style="0" customWidth="1"/>
    <col min="41" max="41" width="8.8515625" style="0" customWidth="1"/>
    <col min="42" max="44" width="7.8515625" style="0" customWidth="1"/>
    <col min="45" max="45" width="6.421875" style="0" customWidth="1"/>
    <col min="46" max="47" width="6.140625" style="0" customWidth="1"/>
    <col min="48" max="50" width="6.00390625" style="0" customWidth="1"/>
    <col min="51" max="51" width="6.57421875" style="0" customWidth="1"/>
    <col min="52" max="53" width="7.28125" style="0" customWidth="1"/>
    <col min="54" max="56" width="7.140625" style="0" customWidth="1"/>
    <col min="57" max="57" width="7.8515625" style="0" bestFit="1" customWidth="1"/>
    <col min="58" max="58" width="6.8515625" style="0" bestFit="1" customWidth="1"/>
    <col min="59" max="59" width="8.140625" style="0" customWidth="1"/>
  </cols>
  <sheetData>
    <row r="1" spans="2:9" ht="15">
      <c r="B1" s="6" t="s">
        <v>123</v>
      </c>
      <c r="I1" s="1"/>
    </row>
    <row r="2" spans="2:9" ht="15">
      <c r="B2" s="6" t="s">
        <v>171</v>
      </c>
      <c r="I2" s="1" t="s">
        <v>69</v>
      </c>
    </row>
    <row r="3" spans="1:59" ht="13.5" customHeight="1" thickBot="1">
      <c r="A3" s="2"/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3"/>
      <c r="BG3" s="3"/>
    </row>
    <row r="4" spans="1:62" ht="15.75" thickBot="1">
      <c r="A4" s="8" t="s">
        <v>0</v>
      </c>
      <c r="B4" s="9" t="s">
        <v>1</v>
      </c>
      <c r="C4" s="62" t="s">
        <v>35</v>
      </c>
      <c r="D4" s="63" t="s">
        <v>108</v>
      </c>
      <c r="E4" s="63" t="s">
        <v>169</v>
      </c>
      <c r="F4" s="63" t="s">
        <v>95</v>
      </c>
      <c r="G4" s="65" t="s">
        <v>106</v>
      </c>
      <c r="H4" s="65" t="s">
        <v>109</v>
      </c>
      <c r="I4" s="62" t="s">
        <v>35</v>
      </c>
      <c r="J4" s="63" t="s">
        <v>108</v>
      </c>
      <c r="K4" s="63" t="s">
        <v>169</v>
      </c>
      <c r="L4" s="63" t="s">
        <v>95</v>
      </c>
      <c r="M4" s="65" t="s">
        <v>106</v>
      </c>
      <c r="N4" s="65" t="s">
        <v>109</v>
      </c>
      <c r="O4" s="92" t="s">
        <v>35</v>
      </c>
      <c r="P4" s="93" t="s">
        <v>110</v>
      </c>
      <c r="Q4" s="63" t="s">
        <v>169</v>
      </c>
      <c r="R4" s="93" t="s">
        <v>95</v>
      </c>
      <c r="S4" s="95" t="s">
        <v>111</v>
      </c>
      <c r="T4" s="95" t="s">
        <v>109</v>
      </c>
      <c r="U4" s="62" t="s">
        <v>35</v>
      </c>
      <c r="V4" s="63" t="s">
        <v>110</v>
      </c>
      <c r="W4" s="65" t="s">
        <v>169</v>
      </c>
      <c r="X4" s="63" t="s">
        <v>95</v>
      </c>
      <c r="Y4" s="65" t="s">
        <v>111</v>
      </c>
      <c r="Z4" s="64" t="s">
        <v>109</v>
      </c>
      <c r="AA4" s="62" t="s">
        <v>35</v>
      </c>
      <c r="AB4" s="63" t="s">
        <v>110</v>
      </c>
      <c r="AC4" s="65" t="s">
        <v>169</v>
      </c>
      <c r="AD4" s="63" t="s">
        <v>95</v>
      </c>
      <c r="AE4" s="65" t="s">
        <v>106</v>
      </c>
      <c r="AF4" s="65" t="s">
        <v>109</v>
      </c>
      <c r="AG4" s="92" t="s">
        <v>35</v>
      </c>
      <c r="AH4" s="93" t="s">
        <v>110</v>
      </c>
      <c r="AI4" s="65" t="s">
        <v>169</v>
      </c>
      <c r="AJ4" s="93" t="s">
        <v>95</v>
      </c>
      <c r="AK4" s="95" t="s">
        <v>111</v>
      </c>
      <c r="AL4" s="94" t="s">
        <v>109</v>
      </c>
      <c r="AM4" s="92" t="s">
        <v>35</v>
      </c>
      <c r="AN4" s="93" t="s">
        <v>110</v>
      </c>
      <c r="AO4" s="65" t="s">
        <v>169</v>
      </c>
      <c r="AP4" s="93" t="s">
        <v>95</v>
      </c>
      <c r="AQ4" s="95" t="s">
        <v>106</v>
      </c>
      <c r="AR4" s="94" t="s">
        <v>109</v>
      </c>
      <c r="AS4" s="68" t="s">
        <v>35</v>
      </c>
      <c r="AT4" s="63" t="s">
        <v>110</v>
      </c>
      <c r="AU4" s="65" t="s">
        <v>169</v>
      </c>
      <c r="AV4" s="65" t="s">
        <v>95</v>
      </c>
      <c r="AW4" s="65" t="s">
        <v>111</v>
      </c>
      <c r="AX4" s="64" t="s">
        <v>109</v>
      </c>
      <c r="AY4" s="62" t="s">
        <v>35</v>
      </c>
      <c r="AZ4" s="63" t="s">
        <v>110</v>
      </c>
      <c r="BA4" s="65" t="s">
        <v>169</v>
      </c>
      <c r="BB4" s="65" t="s">
        <v>96</v>
      </c>
      <c r="BC4" s="65" t="s">
        <v>112</v>
      </c>
      <c r="BD4" s="65" t="s">
        <v>109</v>
      </c>
      <c r="BE4" s="62" t="s">
        <v>35</v>
      </c>
      <c r="BF4" s="63" t="s">
        <v>110</v>
      </c>
      <c r="BG4" s="65" t="s">
        <v>169</v>
      </c>
      <c r="BH4" s="190" t="s">
        <v>95</v>
      </c>
      <c r="BI4" s="190" t="s">
        <v>106</v>
      </c>
      <c r="BJ4" s="64" t="s">
        <v>109</v>
      </c>
    </row>
    <row r="5" spans="1:62" ht="15.75" thickBot="1">
      <c r="A5" s="10"/>
      <c r="B5" s="11"/>
      <c r="C5" s="87">
        <v>600</v>
      </c>
      <c r="D5" s="81"/>
      <c r="E5" s="81"/>
      <c r="F5" s="81"/>
      <c r="G5" s="88"/>
      <c r="H5" s="88"/>
      <c r="I5" s="87">
        <v>601</v>
      </c>
      <c r="J5" s="81"/>
      <c r="K5" s="81"/>
      <c r="L5" s="81"/>
      <c r="M5" s="88"/>
      <c r="N5" s="88"/>
      <c r="O5" s="90">
        <v>602</v>
      </c>
      <c r="P5" s="91"/>
      <c r="Q5" s="91"/>
      <c r="R5" s="91"/>
      <c r="S5" s="96"/>
      <c r="T5" s="96"/>
      <c r="U5" s="87">
        <v>603</v>
      </c>
      <c r="V5" s="81"/>
      <c r="W5" s="81"/>
      <c r="X5" s="81"/>
      <c r="Y5" s="88"/>
      <c r="Z5" s="249"/>
      <c r="AA5" s="87">
        <v>604</v>
      </c>
      <c r="AB5" s="81"/>
      <c r="AC5" s="81"/>
      <c r="AD5" s="81"/>
      <c r="AE5" s="88"/>
      <c r="AF5" s="88"/>
      <c r="AG5" s="90">
        <v>606</v>
      </c>
      <c r="AH5" s="91"/>
      <c r="AI5" s="91"/>
      <c r="AJ5" s="91"/>
      <c r="AK5" s="96"/>
      <c r="AL5" s="250"/>
      <c r="AM5" s="251">
        <v>609</v>
      </c>
      <c r="AN5" s="91"/>
      <c r="AO5" s="91"/>
      <c r="AP5" s="91"/>
      <c r="AQ5" s="96"/>
      <c r="AR5" s="250"/>
      <c r="AS5" s="82">
        <v>230</v>
      </c>
      <c r="AT5" s="81"/>
      <c r="AU5" s="88"/>
      <c r="AV5" s="88"/>
      <c r="AW5" s="83"/>
      <c r="AX5" s="97"/>
      <c r="AY5" s="87">
        <v>231</v>
      </c>
      <c r="AZ5" s="81"/>
      <c r="BA5" s="88"/>
      <c r="BB5" s="88"/>
      <c r="BC5" s="83"/>
      <c r="BD5" s="83"/>
      <c r="BE5" s="87" t="s">
        <v>27</v>
      </c>
      <c r="BF5" s="81"/>
      <c r="BG5" s="88"/>
      <c r="BH5" s="243"/>
      <c r="BI5" s="243"/>
      <c r="BJ5" s="244"/>
    </row>
    <row r="6" spans="1:62" s="7" customFormat="1" ht="15">
      <c r="A6" s="246">
        <v>1</v>
      </c>
      <c r="B6" s="246" t="s">
        <v>2</v>
      </c>
      <c r="C6" s="84">
        <v>3952</v>
      </c>
      <c r="D6" s="85">
        <v>3872</v>
      </c>
      <c r="E6" s="85"/>
      <c r="F6" s="85">
        <v>4057</v>
      </c>
      <c r="G6" s="85">
        <f>F6-C6</f>
        <v>105</v>
      </c>
      <c r="H6" s="89">
        <f>F6-D6</f>
        <v>185</v>
      </c>
      <c r="I6" s="84">
        <v>631</v>
      </c>
      <c r="J6" s="85">
        <v>627</v>
      </c>
      <c r="K6" s="85"/>
      <c r="L6" s="85">
        <v>646</v>
      </c>
      <c r="M6" s="85">
        <f>L6-I6</f>
        <v>15</v>
      </c>
      <c r="N6" s="89">
        <f>L6-J6</f>
        <v>19</v>
      </c>
      <c r="O6" s="84">
        <v>1547</v>
      </c>
      <c r="P6" s="85">
        <v>1488</v>
      </c>
      <c r="Q6" s="85"/>
      <c r="R6" s="85">
        <v>1510</v>
      </c>
      <c r="S6" s="85">
        <f>R6-O6</f>
        <v>-37</v>
      </c>
      <c r="T6" s="89">
        <f>R6-P6</f>
        <v>22</v>
      </c>
      <c r="U6" s="84"/>
      <c r="V6" s="85"/>
      <c r="W6" s="85"/>
      <c r="X6" s="85"/>
      <c r="Y6" s="85"/>
      <c r="Z6" s="89"/>
      <c r="AA6" s="84"/>
      <c r="AB6" s="85"/>
      <c r="AC6" s="85"/>
      <c r="AD6" s="85"/>
      <c r="AE6" s="85"/>
      <c r="AF6" s="89"/>
      <c r="AG6" s="84"/>
      <c r="AH6" s="85"/>
      <c r="AI6" s="85"/>
      <c r="AJ6" s="85"/>
      <c r="AK6" s="85"/>
      <c r="AL6" s="89"/>
      <c r="AM6" s="84"/>
      <c r="AN6" s="85"/>
      <c r="AO6" s="85"/>
      <c r="AP6" s="85"/>
      <c r="AQ6" s="85"/>
      <c r="AR6" s="89"/>
      <c r="AS6" s="84"/>
      <c r="AT6" s="85"/>
      <c r="AU6" s="85"/>
      <c r="AV6" s="85"/>
      <c r="AW6" s="85"/>
      <c r="AX6" s="89"/>
      <c r="AY6" s="84"/>
      <c r="AZ6" s="85"/>
      <c r="BA6" s="85"/>
      <c r="BB6" s="85"/>
      <c r="BC6" s="85"/>
      <c r="BD6" s="89"/>
      <c r="BE6" s="84">
        <f aca="true" t="shared" si="0" ref="BE6:BE26">C6+I6+O6+U6+AA6+AG6+AM6+AS6+AY6</f>
        <v>6130</v>
      </c>
      <c r="BF6" s="85">
        <f aca="true" t="shared" si="1" ref="BF6:BF27">D6+J6+P6+V6+AB6+AH6+AN6+AT6+AZ6</f>
        <v>5987</v>
      </c>
      <c r="BG6" s="85">
        <f>E6+K6+Q6+W6+AC6+AI6+AO6+AU6+BA6</f>
        <v>0</v>
      </c>
      <c r="BH6" s="111">
        <f aca="true" t="shared" si="2" ref="BH6:BH42">F6+L6+R6+X6+AD6+AJ6+AP6+AV6+BB6</f>
        <v>6213</v>
      </c>
      <c r="BI6" s="111">
        <f>BH6-BE6</f>
        <v>83</v>
      </c>
      <c r="BJ6" s="108">
        <f>BH6-BF6</f>
        <v>226</v>
      </c>
    </row>
    <row r="7" spans="1:62" s="7" customFormat="1" ht="15.75" thickBot="1">
      <c r="A7" s="247">
        <v>2</v>
      </c>
      <c r="B7" s="247" t="s">
        <v>3</v>
      </c>
      <c r="C7" s="12">
        <v>8116</v>
      </c>
      <c r="D7" s="13">
        <v>7814</v>
      </c>
      <c r="E7" s="13"/>
      <c r="F7" s="13">
        <v>8505</v>
      </c>
      <c r="G7" s="13">
        <f aca="true" t="shared" si="3" ref="G7:G42">F7-C7</f>
        <v>389</v>
      </c>
      <c r="H7" s="60">
        <f aca="true" t="shared" si="4" ref="H7:H41">F7-D7</f>
        <v>691</v>
      </c>
      <c r="I7" s="12">
        <v>1294</v>
      </c>
      <c r="J7" s="13">
        <v>1272</v>
      </c>
      <c r="K7" s="13"/>
      <c r="L7" s="13">
        <v>1353</v>
      </c>
      <c r="M7" s="13">
        <f aca="true" t="shared" si="5" ref="M7:M42">L7-I7</f>
        <v>59</v>
      </c>
      <c r="N7" s="60">
        <f aca="true" t="shared" si="6" ref="N7:N42">L7-J7</f>
        <v>81</v>
      </c>
      <c r="O7" s="12">
        <v>30609</v>
      </c>
      <c r="P7" s="13">
        <v>26896</v>
      </c>
      <c r="Q7" s="13">
        <v>945</v>
      </c>
      <c r="R7" s="13">
        <v>31550</v>
      </c>
      <c r="S7" s="13">
        <f aca="true" t="shared" si="7" ref="S7:S42">R7-O7</f>
        <v>941</v>
      </c>
      <c r="T7" s="60">
        <f aca="true" t="shared" si="8" ref="T7:T42">R7-P7</f>
        <v>4654</v>
      </c>
      <c r="U7" s="12"/>
      <c r="V7" s="13"/>
      <c r="W7" s="13"/>
      <c r="X7" s="13"/>
      <c r="Y7" s="13"/>
      <c r="Z7" s="60"/>
      <c r="AA7" s="12"/>
      <c r="AB7" s="13"/>
      <c r="AC7" s="13"/>
      <c r="AD7" s="13"/>
      <c r="AE7" s="13"/>
      <c r="AF7" s="60"/>
      <c r="AG7" s="12">
        <v>1239</v>
      </c>
      <c r="AH7" s="13">
        <v>920</v>
      </c>
      <c r="AI7" s="13">
        <v>319</v>
      </c>
      <c r="AJ7" s="13"/>
      <c r="AK7" s="13">
        <f>AJ7-AG7</f>
        <v>-1239</v>
      </c>
      <c r="AL7" s="60">
        <f>AJ7-AH7</f>
        <v>-920</v>
      </c>
      <c r="AM7" s="12"/>
      <c r="AN7" s="13"/>
      <c r="AO7" s="13"/>
      <c r="AP7" s="13"/>
      <c r="AQ7" s="13"/>
      <c r="AR7" s="60"/>
      <c r="AS7" s="12"/>
      <c r="AT7" s="13"/>
      <c r="AU7" s="13"/>
      <c r="AV7" s="13"/>
      <c r="AW7" s="13"/>
      <c r="AX7" s="60"/>
      <c r="AY7" s="12">
        <v>1500</v>
      </c>
      <c r="AZ7" s="13">
        <v>1047</v>
      </c>
      <c r="BA7" s="13"/>
      <c r="BB7" s="13">
        <v>980</v>
      </c>
      <c r="BC7" s="13">
        <f>BB7-AY7</f>
        <v>-520</v>
      </c>
      <c r="BD7" s="60">
        <f aca="true" t="shared" si="9" ref="BD7:BD40">BB7-AZ7</f>
        <v>-67</v>
      </c>
      <c r="BE7" s="12">
        <f t="shared" si="0"/>
        <v>42758</v>
      </c>
      <c r="BF7" s="13">
        <f t="shared" si="1"/>
        <v>37949</v>
      </c>
      <c r="BG7" s="13">
        <f aca="true" t="shared" si="10" ref="BG7:BG43">E7+K7+Q7+W7+AC7+AI7+AO7+AU7+BA7</f>
        <v>1264</v>
      </c>
      <c r="BH7" s="110">
        <f t="shared" si="2"/>
        <v>42388</v>
      </c>
      <c r="BI7" s="110">
        <f aca="true" t="shared" si="11" ref="BI7:BI42">BH7-BE7</f>
        <v>-370</v>
      </c>
      <c r="BJ7" s="67">
        <f aca="true" t="shared" si="12" ref="BJ7:BJ42">BH7-BF7</f>
        <v>4439</v>
      </c>
    </row>
    <row r="8" spans="1:62" s="7" customFormat="1" ht="15">
      <c r="A8" s="246">
        <v>3</v>
      </c>
      <c r="B8" s="247" t="s">
        <v>4</v>
      </c>
      <c r="C8" s="12"/>
      <c r="D8" s="13"/>
      <c r="E8" s="13"/>
      <c r="F8" s="13"/>
      <c r="G8" s="13">
        <f t="shared" si="3"/>
        <v>0</v>
      </c>
      <c r="H8" s="60">
        <f t="shared" si="4"/>
        <v>0</v>
      </c>
      <c r="I8" s="12"/>
      <c r="J8" s="13"/>
      <c r="K8" s="13"/>
      <c r="L8" s="13"/>
      <c r="M8" s="13">
        <f t="shared" si="5"/>
        <v>0</v>
      </c>
      <c r="N8" s="60">
        <f t="shared" si="6"/>
        <v>0</v>
      </c>
      <c r="O8" s="12">
        <v>10300</v>
      </c>
      <c r="P8" s="13">
        <f>'Analiza 2010'!J8</f>
        <v>9891</v>
      </c>
      <c r="Q8" s="13">
        <v>318</v>
      </c>
      <c r="R8" s="13">
        <v>7200</v>
      </c>
      <c r="S8" s="13">
        <f t="shared" si="7"/>
        <v>-3100</v>
      </c>
      <c r="T8" s="60">
        <f t="shared" si="8"/>
        <v>-2691</v>
      </c>
      <c r="U8" s="12"/>
      <c r="V8" s="13"/>
      <c r="W8" s="13"/>
      <c r="X8" s="13"/>
      <c r="Y8" s="13"/>
      <c r="Z8" s="60"/>
      <c r="AA8" s="12"/>
      <c r="AB8" s="13"/>
      <c r="AC8" s="13"/>
      <c r="AD8" s="13"/>
      <c r="AE8" s="13"/>
      <c r="AF8" s="60"/>
      <c r="AG8" s="12"/>
      <c r="AH8" s="13"/>
      <c r="AI8" s="13"/>
      <c r="AJ8" s="13"/>
      <c r="AK8" s="13">
        <f aca="true" t="shared" si="13" ref="AK8:AK40">AJ8-AG8</f>
        <v>0</v>
      </c>
      <c r="AL8" s="60">
        <f aca="true" t="shared" si="14" ref="AL8:AL40">AJ8-AH8</f>
        <v>0</v>
      </c>
      <c r="AM8" s="12"/>
      <c r="AN8" s="13"/>
      <c r="AO8" s="13"/>
      <c r="AP8" s="13"/>
      <c r="AQ8" s="13"/>
      <c r="AR8" s="60"/>
      <c r="AS8" s="12"/>
      <c r="AT8" s="13"/>
      <c r="AU8" s="13"/>
      <c r="AV8" s="13"/>
      <c r="AW8" s="13"/>
      <c r="AX8" s="60"/>
      <c r="AY8" s="12">
        <v>200</v>
      </c>
      <c r="AZ8" s="13">
        <v>200</v>
      </c>
      <c r="BA8" s="13"/>
      <c r="BB8" s="13">
        <v>200</v>
      </c>
      <c r="BC8" s="13">
        <f aca="true" t="shared" si="15" ref="BC8:BC40">BB8-AY8</f>
        <v>0</v>
      </c>
      <c r="BD8" s="60">
        <f t="shared" si="9"/>
        <v>0</v>
      </c>
      <c r="BE8" s="12">
        <f t="shared" si="0"/>
        <v>10500</v>
      </c>
      <c r="BF8" s="13">
        <f t="shared" si="1"/>
        <v>10091</v>
      </c>
      <c r="BG8" s="13">
        <f t="shared" si="10"/>
        <v>318</v>
      </c>
      <c r="BH8" s="110">
        <f t="shared" si="2"/>
        <v>7400</v>
      </c>
      <c r="BI8" s="110">
        <f t="shared" si="11"/>
        <v>-3100</v>
      </c>
      <c r="BJ8" s="67">
        <f t="shared" si="12"/>
        <v>-2691</v>
      </c>
    </row>
    <row r="9" spans="1:62" s="7" customFormat="1" ht="15.75" thickBot="1">
      <c r="A9" s="247">
        <v>4</v>
      </c>
      <c r="B9" s="247" t="s">
        <v>5</v>
      </c>
      <c r="C9" s="12">
        <v>10696</v>
      </c>
      <c r="D9" s="13">
        <v>10259</v>
      </c>
      <c r="E9" s="13"/>
      <c r="F9" s="13">
        <v>10815</v>
      </c>
      <c r="G9" s="13">
        <f t="shared" si="3"/>
        <v>119</v>
      </c>
      <c r="H9" s="60">
        <f t="shared" si="4"/>
        <v>556</v>
      </c>
      <c r="I9" s="12">
        <v>1710</v>
      </c>
      <c r="J9" s="13">
        <v>1658</v>
      </c>
      <c r="K9" s="13"/>
      <c r="L9" s="13">
        <v>1720</v>
      </c>
      <c r="M9" s="13">
        <f t="shared" si="5"/>
        <v>10</v>
      </c>
      <c r="N9" s="60">
        <f t="shared" si="6"/>
        <v>62</v>
      </c>
      <c r="O9" s="12">
        <v>16600</v>
      </c>
      <c r="P9" s="13">
        <f>'Analiza 2010'!J9</f>
        <v>15885</v>
      </c>
      <c r="Q9" s="13">
        <v>68</v>
      </c>
      <c r="R9" s="13">
        <v>13800</v>
      </c>
      <c r="S9" s="13">
        <f t="shared" si="7"/>
        <v>-2800</v>
      </c>
      <c r="T9" s="60">
        <f t="shared" si="8"/>
        <v>-2085</v>
      </c>
      <c r="U9" s="12"/>
      <c r="V9" s="13"/>
      <c r="W9" s="13"/>
      <c r="X9" s="13"/>
      <c r="Y9" s="13"/>
      <c r="Z9" s="60"/>
      <c r="AA9" s="12"/>
      <c r="AB9" s="13"/>
      <c r="AC9" s="13"/>
      <c r="AD9" s="13"/>
      <c r="AE9" s="13"/>
      <c r="AF9" s="60"/>
      <c r="AG9" s="12"/>
      <c r="AH9" s="13"/>
      <c r="AI9" s="13"/>
      <c r="AJ9" s="13"/>
      <c r="AK9" s="13">
        <f t="shared" si="13"/>
        <v>0</v>
      </c>
      <c r="AL9" s="60">
        <f t="shared" si="14"/>
        <v>0</v>
      </c>
      <c r="AM9" s="12"/>
      <c r="AN9" s="13"/>
      <c r="AO9" s="13"/>
      <c r="AP9" s="13"/>
      <c r="AQ9" s="13"/>
      <c r="AR9" s="60"/>
      <c r="AS9" s="12"/>
      <c r="AT9" s="13"/>
      <c r="AU9" s="13"/>
      <c r="AV9" s="13"/>
      <c r="AW9" s="13"/>
      <c r="AX9" s="60"/>
      <c r="AY9" s="12">
        <v>225</v>
      </c>
      <c r="AZ9" s="13">
        <v>225</v>
      </c>
      <c r="BA9" s="13"/>
      <c r="BB9" s="13">
        <v>200</v>
      </c>
      <c r="BC9" s="13">
        <f t="shared" si="15"/>
        <v>-25</v>
      </c>
      <c r="BD9" s="60">
        <f t="shared" si="9"/>
        <v>-25</v>
      </c>
      <c r="BE9" s="12">
        <f t="shared" si="0"/>
        <v>29231</v>
      </c>
      <c r="BF9" s="13">
        <f t="shared" si="1"/>
        <v>28027</v>
      </c>
      <c r="BG9" s="13">
        <f t="shared" si="10"/>
        <v>68</v>
      </c>
      <c r="BH9" s="110">
        <f t="shared" si="2"/>
        <v>26535</v>
      </c>
      <c r="BI9" s="110">
        <f t="shared" si="11"/>
        <v>-2696</v>
      </c>
      <c r="BJ9" s="67">
        <f t="shared" si="12"/>
        <v>-1492</v>
      </c>
    </row>
    <row r="10" spans="1:62" s="7" customFormat="1" ht="15">
      <c r="A10" s="246">
        <v>5</v>
      </c>
      <c r="B10" s="247" t="s">
        <v>6</v>
      </c>
      <c r="C10" s="12">
        <v>5934</v>
      </c>
      <c r="D10" s="13">
        <v>5692</v>
      </c>
      <c r="E10" s="13"/>
      <c r="F10" s="13">
        <v>6174</v>
      </c>
      <c r="G10" s="13">
        <f t="shared" si="3"/>
        <v>240</v>
      </c>
      <c r="H10" s="60">
        <f t="shared" si="4"/>
        <v>482</v>
      </c>
      <c r="I10" s="12">
        <v>943</v>
      </c>
      <c r="J10" s="13">
        <v>922</v>
      </c>
      <c r="K10" s="13"/>
      <c r="L10" s="13">
        <v>982</v>
      </c>
      <c r="M10" s="13">
        <f t="shared" si="5"/>
        <v>39</v>
      </c>
      <c r="N10" s="60">
        <f t="shared" si="6"/>
        <v>60</v>
      </c>
      <c r="O10" s="12">
        <v>15008</v>
      </c>
      <c r="P10" s="13">
        <v>14976</v>
      </c>
      <c r="Q10" s="13"/>
      <c r="R10" s="13">
        <v>12382</v>
      </c>
      <c r="S10" s="13">
        <f t="shared" si="7"/>
        <v>-2626</v>
      </c>
      <c r="T10" s="60">
        <f t="shared" si="8"/>
        <v>-2594</v>
      </c>
      <c r="U10" s="12"/>
      <c r="V10" s="13"/>
      <c r="W10" s="13"/>
      <c r="X10" s="13"/>
      <c r="Y10" s="13"/>
      <c r="Z10" s="60"/>
      <c r="AA10" s="12"/>
      <c r="AB10" s="13"/>
      <c r="AC10" s="13"/>
      <c r="AD10" s="13"/>
      <c r="AE10" s="13"/>
      <c r="AF10" s="60"/>
      <c r="AG10" s="12"/>
      <c r="AH10" s="13"/>
      <c r="AI10" s="13"/>
      <c r="AJ10" s="13"/>
      <c r="AK10" s="13">
        <f t="shared" si="13"/>
        <v>0</v>
      </c>
      <c r="AL10" s="60">
        <f t="shared" si="14"/>
        <v>0</v>
      </c>
      <c r="AM10" s="12"/>
      <c r="AN10" s="13"/>
      <c r="AO10" s="13"/>
      <c r="AP10" s="13"/>
      <c r="AQ10" s="13"/>
      <c r="AR10" s="60"/>
      <c r="AS10" s="12"/>
      <c r="AT10" s="13"/>
      <c r="AU10" s="13"/>
      <c r="AV10" s="13"/>
      <c r="AW10" s="13"/>
      <c r="AX10" s="60"/>
      <c r="AY10" s="12">
        <v>400</v>
      </c>
      <c r="AZ10" s="13">
        <v>400</v>
      </c>
      <c r="BA10" s="13"/>
      <c r="BB10" s="13"/>
      <c r="BC10" s="13">
        <f t="shared" si="15"/>
        <v>-400</v>
      </c>
      <c r="BD10" s="60">
        <f t="shared" si="9"/>
        <v>-400</v>
      </c>
      <c r="BE10" s="12">
        <f t="shared" si="0"/>
        <v>22285</v>
      </c>
      <c r="BF10" s="13">
        <f t="shared" si="1"/>
        <v>21990</v>
      </c>
      <c r="BG10" s="13">
        <f t="shared" si="10"/>
        <v>0</v>
      </c>
      <c r="BH10" s="110">
        <f t="shared" si="2"/>
        <v>19538</v>
      </c>
      <c r="BI10" s="110">
        <f t="shared" si="11"/>
        <v>-2747</v>
      </c>
      <c r="BJ10" s="67">
        <f t="shared" si="12"/>
        <v>-2452</v>
      </c>
    </row>
    <row r="11" spans="1:62" s="7" customFormat="1" ht="15.75" thickBot="1">
      <c r="A11" s="247">
        <v>6</v>
      </c>
      <c r="B11" s="247" t="s">
        <v>15</v>
      </c>
      <c r="C11" s="12"/>
      <c r="D11" s="13"/>
      <c r="E11" s="13"/>
      <c r="F11" s="13"/>
      <c r="G11" s="13">
        <f t="shared" si="3"/>
        <v>0</v>
      </c>
      <c r="H11" s="60">
        <f t="shared" si="4"/>
        <v>0</v>
      </c>
      <c r="I11" s="12"/>
      <c r="J11" s="13"/>
      <c r="K11" s="13"/>
      <c r="L11" s="13"/>
      <c r="M11" s="13">
        <f t="shared" si="5"/>
        <v>0</v>
      </c>
      <c r="N11" s="60">
        <f t="shared" si="6"/>
        <v>0</v>
      </c>
      <c r="O11" s="12">
        <v>50</v>
      </c>
      <c r="P11" s="13">
        <v>50</v>
      </c>
      <c r="Q11" s="13"/>
      <c r="R11" s="13"/>
      <c r="S11" s="13">
        <f t="shared" si="7"/>
        <v>-50</v>
      </c>
      <c r="T11" s="60">
        <f t="shared" si="8"/>
        <v>-50</v>
      </c>
      <c r="U11" s="12"/>
      <c r="V11" s="13"/>
      <c r="W11" s="13"/>
      <c r="X11" s="13"/>
      <c r="Y11" s="13"/>
      <c r="Z11" s="60"/>
      <c r="AA11" s="12"/>
      <c r="AB11" s="13"/>
      <c r="AC11" s="13"/>
      <c r="AD11" s="13"/>
      <c r="AE11" s="13"/>
      <c r="AF11" s="60"/>
      <c r="AG11" s="12"/>
      <c r="AH11" s="13"/>
      <c r="AI11" s="13"/>
      <c r="AJ11" s="13"/>
      <c r="AK11" s="13">
        <f t="shared" si="13"/>
        <v>0</v>
      </c>
      <c r="AL11" s="60">
        <f t="shared" si="14"/>
        <v>0</v>
      </c>
      <c r="AM11" s="12"/>
      <c r="AN11" s="13"/>
      <c r="AO11" s="13"/>
      <c r="AP11" s="13"/>
      <c r="AQ11" s="13"/>
      <c r="AR11" s="60"/>
      <c r="AS11" s="12"/>
      <c r="AT11" s="13"/>
      <c r="AU11" s="13"/>
      <c r="AV11" s="13"/>
      <c r="AW11" s="13"/>
      <c r="AX11" s="60"/>
      <c r="AY11" s="12">
        <v>550</v>
      </c>
      <c r="AZ11" s="13">
        <v>550</v>
      </c>
      <c r="BA11" s="13">
        <v>50</v>
      </c>
      <c r="BB11" s="13">
        <v>600</v>
      </c>
      <c r="BC11" s="13">
        <f t="shared" si="15"/>
        <v>50</v>
      </c>
      <c r="BD11" s="60">
        <f t="shared" si="9"/>
        <v>50</v>
      </c>
      <c r="BE11" s="12">
        <f t="shared" si="0"/>
        <v>600</v>
      </c>
      <c r="BF11" s="13">
        <f t="shared" si="1"/>
        <v>600</v>
      </c>
      <c r="BG11" s="13">
        <f t="shared" si="10"/>
        <v>50</v>
      </c>
      <c r="BH11" s="110">
        <f t="shared" si="2"/>
        <v>600</v>
      </c>
      <c r="BI11" s="110">
        <f t="shared" si="11"/>
        <v>0</v>
      </c>
      <c r="BJ11" s="67">
        <f t="shared" si="12"/>
        <v>0</v>
      </c>
    </row>
    <row r="12" spans="1:62" s="7" customFormat="1" ht="15">
      <c r="A12" s="246">
        <v>7</v>
      </c>
      <c r="B12" s="247" t="s">
        <v>7</v>
      </c>
      <c r="C12" s="12">
        <v>3438</v>
      </c>
      <c r="D12" s="13">
        <v>2808</v>
      </c>
      <c r="E12" s="13"/>
      <c r="F12" s="13">
        <v>3558</v>
      </c>
      <c r="G12" s="13">
        <f t="shared" si="3"/>
        <v>120</v>
      </c>
      <c r="H12" s="60">
        <f t="shared" si="4"/>
        <v>750</v>
      </c>
      <c r="I12" s="12">
        <v>515</v>
      </c>
      <c r="J12" s="13">
        <v>443</v>
      </c>
      <c r="K12" s="13"/>
      <c r="L12" s="13">
        <v>568</v>
      </c>
      <c r="M12" s="13">
        <f t="shared" si="5"/>
        <v>53</v>
      </c>
      <c r="N12" s="60">
        <f t="shared" si="6"/>
        <v>125</v>
      </c>
      <c r="O12" s="12">
        <v>13316</v>
      </c>
      <c r="P12" s="13">
        <v>9486</v>
      </c>
      <c r="Q12" s="13">
        <v>1600</v>
      </c>
      <c r="R12" s="13">
        <v>10330</v>
      </c>
      <c r="S12" s="13">
        <f t="shared" si="7"/>
        <v>-2986</v>
      </c>
      <c r="T12" s="60">
        <f t="shared" si="8"/>
        <v>844</v>
      </c>
      <c r="U12" s="12"/>
      <c r="V12" s="13"/>
      <c r="W12" s="13"/>
      <c r="X12" s="13"/>
      <c r="Y12" s="13"/>
      <c r="Z12" s="60"/>
      <c r="AA12" s="12"/>
      <c r="AB12" s="13"/>
      <c r="AC12" s="13"/>
      <c r="AD12" s="13"/>
      <c r="AE12" s="13"/>
      <c r="AF12" s="60"/>
      <c r="AG12" s="12"/>
      <c r="AH12" s="13"/>
      <c r="AI12" s="13"/>
      <c r="AJ12" s="13"/>
      <c r="AK12" s="13">
        <f t="shared" si="13"/>
        <v>0</v>
      </c>
      <c r="AL12" s="60">
        <f t="shared" si="14"/>
        <v>0</v>
      </c>
      <c r="AM12" s="12"/>
      <c r="AN12" s="13"/>
      <c r="AO12" s="13"/>
      <c r="AP12" s="13"/>
      <c r="AQ12" s="13"/>
      <c r="AR12" s="60"/>
      <c r="AS12" s="12"/>
      <c r="AT12" s="13"/>
      <c r="AU12" s="13"/>
      <c r="AV12" s="13"/>
      <c r="AW12" s="13"/>
      <c r="AX12" s="60"/>
      <c r="AY12" s="12"/>
      <c r="AZ12" s="13"/>
      <c r="BA12" s="13"/>
      <c r="BB12" s="13">
        <v>1400</v>
      </c>
      <c r="BC12" s="13">
        <f t="shared" si="15"/>
        <v>1400</v>
      </c>
      <c r="BD12" s="60">
        <f t="shared" si="9"/>
        <v>1400</v>
      </c>
      <c r="BE12" s="12">
        <f t="shared" si="0"/>
        <v>17269</v>
      </c>
      <c r="BF12" s="13">
        <f t="shared" si="1"/>
        <v>12737</v>
      </c>
      <c r="BG12" s="13">
        <f t="shared" si="10"/>
        <v>1600</v>
      </c>
      <c r="BH12" s="110">
        <f t="shared" si="2"/>
        <v>15856</v>
      </c>
      <c r="BI12" s="110">
        <f t="shared" si="11"/>
        <v>-1413</v>
      </c>
      <c r="BJ12" s="67">
        <f t="shared" si="12"/>
        <v>3119</v>
      </c>
    </row>
    <row r="13" spans="1:62" s="7" customFormat="1" ht="15.75" thickBot="1">
      <c r="A13" s="247">
        <v>8</v>
      </c>
      <c r="B13" s="247" t="s">
        <v>8</v>
      </c>
      <c r="C13" s="12">
        <v>5695</v>
      </c>
      <c r="D13" s="13">
        <v>5667</v>
      </c>
      <c r="E13" s="13"/>
      <c r="F13" s="13">
        <v>6256</v>
      </c>
      <c r="G13" s="13">
        <f t="shared" si="3"/>
        <v>561</v>
      </c>
      <c r="H13" s="60">
        <f t="shared" si="4"/>
        <v>589</v>
      </c>
      <c r="I13" s="12">
        <v>908</v>
      </c>
      <c r="J13" s="13">
        <v>906</v>
      </c>
      <c r="K13" s="13"/>
      <c r="L13" s="13">
        <v>995</v>
      </c>
      <c r="M13" s="13">
        <f t="shared" si="5"/>
        <v>87</v>
      </c>
      <c r="N13" s="60">
        <f t="shared" si="6"/>
        <v>89</v>
      </c>
      <c r="O13" s="12">
        <f>17308+500</f>
        <v>17808</v>
      </c>
      <c r="P13" s="13">
        <v>16139</v>
      </c>
      <c r="Q13" s="13">
        <v>1620</v>
      </c>
      <c r="R13" s="13">
        <f>15755</f>
        <v>15755</v>
      </c>
      <c r="S13" s="13">
        <f t="shared" si="7"/>
        <v>-2053</v>
      </c>
      <c r="T13" s="60">
        <f t="shared" si="8"/>
        <v>-384</v>
      </c>
      <c r="U13" s="12"/>
      <c r="V13" s="13"/>
      <c r="W13" s="13"/>
      <c r="X13" s="13"/>
      <c r="Y13" s="13"/>
      <c r="Z13" s="60"/>
      <c r="AA13" s="12"/>
      <c r="AB13" s="13"/>
      <c r="AC13" s="13"/>
      <c r="AD13" s="13"/>
      <c r="AE13" s="13"/>
      <c r="AF13" s="60"/>
      <c r="AG13" s="12"/>
      <c r="AH13" s="13"/>
      <c r="AI13" s="13"/>
      <c r="AJ13" s="13"/>
      <c r="AK13" s="13">
        <f t="shared" si="13"/>
        <v>0</v>
      </c>
      <c r="AL13" s="60">
        <f t="shared" si="14"/>
        <v>0</v>
      </c>
      <c r="AM13" s="12"/>
      <c r="AN13" s="13"/>
      <c r="AO13" s="13"/>
      <c r="AP13" s="13"/>
      <c r="AQ13" s="13"/>
      <c r="AR13" s="60"/>
      <c r="AS13" s="12"/>
      <c r="AT13" s="13"/>
      <c r="AU13" s="13"/>
      <c r="AV13" s="13"/>
      <c r="AW13" s="13"/>
      <c r="AX13" s="60"/>
      <c r="AY13" s="12">
        <v>1045</v>
      </c>
      <c r="AZ13" s="13">
        <v>905</v>
      </c>
      <c r="BA13" s="13">
        <v>137</v>
      </c>
      <c r="BB13" s="13">
        <f>630+1000+480</f>
        <v>2110</v>
      </c>
      <c r="BC13" s="13">
        <f t="shared" si="15"/>
        <v>1065</v>
      </c>
      <c r="BD13" s="60">
        <f t="shared" si="9"/>
        <v>1205</v>
      </c>
      <c r="BE13" s="12">
        <f t="shared" si="0"/>
        <v>25456</v>
      </c>
      <c r="BF13" s="13">
        <f t="shared" si="1"/>
        <v>23617</v>
      </c>
      <c r="BG13" s="13">
        <f t="shared" si="10"/>
        <v>1757</v>
      </c>
      <c r="BH13" s="110">
        <f t="shared" si="2"/>
        <v>25116</v>
      </c>
      <c r="BI13" s="110">
        <f t="shared" si="11"/>
        <v>-340</v>
      </c>
      <c r="BJ13" s="67">
        <f t="shared" si="12"/>
        <v>1499</v>
      </c>
    </row>
    <row r="14" spans="1:62" s="7" customFormat="1" ht="15">
      <c r="A14" s="246">
        <v>9</v>
      </c>
      <c r="B14" s="247" t="s">
        <v>14</v>
      </c>
      <c r="C14" s="12"/>
      <c r="D14" s="13"/>
      <c r="E14" s="13"/>
      <c r="F14" s="13"/>
      <c r="G14" s="13">
        <f t="shared" si="3"/>
        <v>0</v>
      </c>
      <c r="H14" s="60">
        <f t="shared" si="4"/>
        <v>0</v>
      </c>
      <c r="I14" s="12"/>
      <c r="J14" s="13"/>
      <c r="K14" s="13"/>
      <c r="L14" s="13"/>
      <c r="M14" s="13">
        <f t="shared" si="5"/>
        <v>0</v>
      </c>
      <c r="N14" s="60">
        <f t="shared" si="6"/>
        <v>0</v>
      </c>
      <c r="O14" s="12"/>
      <c r="P14" s="13"/>
      <c r="Q14" s="13">
        <v>6</v>
      </c>
      <c r="R14" s="13"/>
      <c r="S14" s="13">
        <f t="shared" si="7"/>
        <v>0</v>
      </c>
      <c r="T14" s="60">
        <f t="shared" si="8"/>
        <v>0</v>
      </c>
      <c r="U14" s="12"/>
      <c r="V14" s="13"/>
      <c r="W14" s="13"/>
      <c r="X14" s="13"/>
      <c r="Y14" s="13"/>
      <c r="Z14" s="60"/>
      <c r="AA14" s="12"/>
      <c r="AB14" s="13"/>
      <c r="AC14" s="13"/>
      <c r="AD14" s="13"/>
      <c r="AE14" s="13"/>
      <c r="AF14" s="60"/>
      <c r="AG14" s="12"/>
      <c r="AH14" s="13"/>
      <c r="AI14" s="13"/>
      <c r="AJ14" s="13"/>
      <c r="AK14" s="13">
        <f t="shared" si="13"/>
        <v>0</v>
      </c>
      <c r="AL14" s="60">
        <f t="shared" si="14"/>
        <v>0</v>
      </c>
      <c r="AM14" s="12"/>
      <c r="AN14" s="13"/>
      <c r="AO14" s="13"/>
      <c r="AP14" s="13"/>
      <c r="AQ14" s="13"/>
      <c r="AR14" s="60"/>
      <c r="AS14" s="12"/>
      <c r="AT14" s="13"/>
      <c r="AU14" s="13"/>
      <c r="AV14" s="13"/>
      <c r="AW14" s="13"/>
      <c r="AX14" s="60"/>
      <c r="AY14" s="12"/>
      <c r="AZ14" s="13"/>
      <c r="BA14" s="13"/>
      <c r="BB14" s="13"/>
      <c r="BC14" s="13">
        <f t="shared" si="15"/>
        <v>0</v>
      </c>
      <c r="BD14" s="60">
        <f t="shared" si="9"/>
        <v>0</v>
      </c>
      <c r="BE14" s="12">
        <f t="shared" si="0"/>
        <v>0</v>
      </c>
      <c r="BF14" s="13">
        <f t="shared" si="1"/>
        <v>0</v>
      </c>
      <c r="BG14" s="13">
        <f t="shared" si="10"/>
        <v>6</v>
      </c>
      <c r="BH14" s="110">
        <f t="shared" si="2"/>
        <v>0</v>
      </c>
      <c r="BI14" s="110">
        <f t="shared" si="11"/>
        <v>0</v>
      </c>
      <c r="BJ14" s="67">
        <f t="shared" si="12"/>
        <v>0</v>
      </c>
    </row>
    <row r="15" spans="1:62" s="7" customFormat="1" ht="15.75" thickBot="1">
      <c r="A15" s="247">
        <v>10</v>
      </c>
      <c r="B15" s="247" t="s">
        <v>9</v>
      </c>
      <c r="C15" s="12">
        <v>10891</v>
      </c>
      <c r="D15" s="13">
        <v>10841</v>
      </c>
      <c r="E15" s="13"/>
      <c r="F15" s="13">
        <v>10586</v>
      </c>
      <c r="G15" s="13">
        <f t="shared" si="3"/>
        <v>-305</v>
      </c>
      <c r="H15" s="60">
        <f t="shared" si="4"/>
        <v>-255</v>
      </c>
      <c r="I15" s="12">
        <v>1735</v>
      </c>
      <c r="J15" s="13">
        <v>1733</v>
      </c>
      <c r="K15" s="13"/>
      <c r="L15" s="13">
        <v>1690</v>
      </c>
      <c r="M15" s="13">
        <f t="shared" si="5"/>
        <v>-45</v>
      </c>
      <c r="N15" s="60">
        <f t="shared" si="6"/>
        <v>-43</v>
      </c>
      <c r="O15" s="12">
        <v>11581</v>
      </c>
      <c r="P15" s="13">
        <f>10848+139</f>
        <v>10987</v>
      </c>
      <c r="Q15" s="13"/>
      <c r="R15" s="13">
        <v>9679</v>
      </c>
      <c r="S15" s="13">
        <f t="shared" si="7"/>
        <v>-1902</v>
      </c>
      <c r="T15" s="60">
        <f t="shared" si="8"/>
        <v>-1308</v>
      </c>
      <c r="U15" s="12"/>
      <c r="V15" s="13"/>
      <c r="W15" s="13"/>
      <c r="X15" s="13"/>
      <c r="Y15" s="13"/>
      <c r="Z15" s="60"/>
      <c r="AA15" s="12"/>
      <c r="AB15" s="13"/>
      <c r="AC15" s="13"/>
      <c r="AD15" s="13"/>
      <c r="AE15" s="13"/>
      <c r="AF15" s="60"/>
      <c r="AG15" s="12"/>
      <c r="AH15" s="13"/>
      <c r="AI15" s="13"/>
      <c r="AJ15" s="13"/>
      <c r="AK15" s="13">
        <f t="shared" si="13"/>
        <v>0</v>
      </c>
      <c r="AL15" s="60">
        <f t="shared" si="14"/>
        <v>0</v>
      </c>
      <c r="AM15" s="12"/>
      <c r="AN15" s="13"/>
      <c r="AO15" s="13"/>
      <c r="AP15" s="13"/>
      <c r="AQ15" s="13"/>
      <c r="AR15" s="60"/>
      <c r="AS15" s="12"/>
      <c r="AT15" s="13"/>
      <c r="AU15" s="13"/>
      <c r="AV15" s="13"/>
      <c r="AW15" s="13"/>
      <c r="AX15" s="60"/>
      <c r="AY15" s="12"/>
      <c r="AZ15" s="13"/>
      <c r="BA15" s="13"/>
      <c r="BB15" s="13"/>
      <c r="BC15" s="13">
        <f t="shared" si="15"/>
        <v>0</v>
      </c>
      <c r="BD15" s="60">
        <f t="shared" si="9"/>
        <v>0</v>
      </c>
      <c r="BE15" s="12">
        <f t="shared" si="0"/>
        <v>24207</v>
      </c>
      <c r="BF15" s="13">
        <f t="shared" si="1"/>
        <v>23561</v>
      </c>
      <c r="BG15" s="13">
        <f t="shared" si="10"/>
        <v>0</v>
      </c>
      <c r="BH15" s="110">
        <f t="shared" si="2"/>
        <v>21955</v>
      </c>
      <c r="BI15" s="110">
        <f t="shared" si="11"/>
        <v>-2252</v>
      </c>
      <c r="BJ15" s="67">
        <f t="shared" si="12"/>
        <v>-1606</v>
      </c>
    </row>
    <row r="16" spans="1:62" s="7" customFormat="1" ht="15">
      <c r="A16" s="246">
        <v>11</v>
      </c>
      <c r="B16" s="247" t="s">
        <v>104</v>
      </c>
      <c r="C16" s="12"/>
      <c r="D16" s="13"/>
      <c r="E16" s="13"/>
      <c r="F16" s="13"/>
      <c r="G16" s="13">
        <f t="shared" si="3"/>
        <v>0</v>
      </c>
      <c r="H16" s="60">
        <f t="shared" si="4"/>
        <v>0</v>
      </c>
      <c r="I16" s="12"/>
      <c r="J16" s="13"/>
      <c r="K16" s="13"/>
      <c r="L16" s="13"/>
      <c r="M16" s="13">
        <f t="shared" si="5"/>
        <v>0</v>
      </c>
      <c r="N16" s="60">
        <f t="shared" si="6"/>
        <v>0</v>
      </c>
      <c r="O16" s="12"/>
      <c r="P16" s="13"/>
      <c r="Q16" s="13"/>
      <c r="R16" s="13"/>
      <c r="S16" s="13">
        <f t="shared" si="7"/>
        <v>0</v>
      </c>
      <c r="T16" s="60">
        <f t="shared" si="8"/>
        <v>0</v>
      </c>
      <c r="U16" s="12"/>
      <c r="V16" s="13"/>
      <c r="W16" s="13"/>
      <c r="X16" s="13"/>
      <c r="Y16" s="13"/>
      <c r="Z16" s="60"/>
      <c r="AA16" s="12"/>
      <c r="AB16" s="13"/>
      <c r="AC16" s="13"/>
      <c r="AD16" s="13"/>
      <c r="AE16" s="13"/>
      <c r="AF16" s="60"/>
      <c r="AG16" s="12"/>
      <c r="AH16" s="13"/>
      <c r="AI16" s="13"/>
      <c r="AJ16" s="13"/>
      <c r="AK16" s="13">
        <f t="shared" si="13"/>
        <v>0</v>
      </c>
      <c r="AL16" s="60">
        <f t="shared" si="14"/>
        <v>0</v>
      </c>
      <c r="AM16" s="12"/>
      <c r="AN16" s="13"/>
      <c r="AO16" s="13"/>
      <c r="AP16" s="13"/>
      <c r="AQ16" s="13"/>
      <c r="AR16" s="60"/>
      <c r="AS16" s="12"/>
      <c r="AT16" s="13"/>
      <c r="AU16" s="13"/>
      <c r="AV16" s="13"/>
      <c r="AW16" s="13"/>
      <c r="AX16" s="60"/>
      <c r="AY16" s="12"/>
      <c r="AZ16" s="13"/>
      <c r="BA16" s="13"/>
      <c r="BB16" s="13"/>
      <c r="BC16" s="13">
        <f t="shared" si="15"/>
        <v>0</v>
      </c>
      <c r="BD16" s="60">
        <f t="shared" si="9"/>
        <v>0</v>
      </c>
      <c r="BE16" s="12">
        <f t="shared" si="0"/>
        <v>0</v>
      </c>
      <c r="BF16" s="13">
        <f t="shared" si="1"/>
        <v>0</v>
      </c>
      <c r="BG16" s="13">
        <f t="shared" si="10"/>
        <v>0</v>
      </c>
      <c r="BH16" s="110">
        <f t="shared" si="2"/>
        <v>0</v>
      </c>
      <c r="BI16" s="110">
        <f t="shared" si="11"/>
        <v>0</v>
      </c>
      <c r="BJ16" s="67">
        <f t="shared" si="12"/>
        <v>0</v>
      </c>
    </row>
    <row r="17" spans="1:62" s="7" customFormat="1" ht="15.75" thickBot="1">
      <c r="A17" s="247">
        <v>12</v>
      </c>
      <c r="B17" s="247" t="s">
        <v>10</v>
      </c>
      <c r="C17" s="12">
        <v>5752</v>
      </c>
      <c r="D17" s="13">
        <v>5668</v>
      </c>
      <c r="E17" s="13"/>
      <c r="F17" s="13">
        <v>5891</v>
      </c>
      <c r="G17" s="13">
        <f t="shared" si="3"/>
        <v>139</v>
      </c>
      <c r="H17" s="60">
        <f t="shared" si="4"/>
        <v>223</v>
      </c>
      <c r="I17" s="12">
        <v>915</v>
      </c>
      <c r="J17" s="13">
        <v>915</v>
      </c>
      <c r="K17" s="13"/>
      <c r="L17" s="13">
        <v>937</v>
      </c>
      <c r="M17" s="13">
        <f t="shared" si="5"/>
        <v>22</v>
      </c>
      <c r="N17" s="60">
        <f t="shared" si="6"/>
        <v>22</v>
      </c>
      <c r="O17" s="12">
        <v>3205</v>
      </c>
      <c r="P17" s="13">
        <v>2841</v>
      </c>
      <c r="Q17" s="13"/>
      <c r="R17" s="13">
        <v>2275</v>
      </c>
      <c r="S17" s="13">
        <f t="shared" si="7"/>
        <v>-930</v>
      </c>
      <c r="T17" s="60">
        <f t="shared" si="8"/>
        <v>-566</v>
      </c>
      <c r="U17" s="12"/>
      <c r="V17" s="13"/>
      <c r="W17" s="13"/>
      <c r="X17" s="13"/>
      <c r="Y17" s="13"/>
      <c r="Z17" s="60"/>
      <c r="AA17" s="12"/>
      <c r="AB17" s="13"/>
      <c r="AC17" s="13"/>
      <c r="AD17" s="13"/>
      <c r="AE17" s="13"/>
      <c r="AF17" s="60"/>
      <c r="AG17" s="12"/>
      <c r="AH17" s="13"/>
      <c r="AI17" s="13"/>
      <c r="AJ17" s="13"/>
      <c r="AK17" s="13">
        <f t="shared" si="13"/>
        <v>0</v>
      </c>
      <c r="AL17" s="60">
        <f t="shared" si="14"/>
        <v>0</v>
      </c>
      <c r="AM17" s="12"/>
      <c r="AN17" s="13"/>
      <c r="AO17" s="13"/>
      <c r="AP17" s="13"/>
      <c r="AQ17" s="13"/>
      <c r="AR17" s="60"/>
      <c r="AS17" s="12"/>
      <c r="AT17" s="13"/>
      <c r="AU17" s="13"/>
      <c r="AV17" s="13"/>
      <c r="AW17" s="13"/>
      <c r="AX17" s="60"/>
      <c r="AY17" s="12">
        <v>1500</v>
      </c>
      <c r="AZ17" s="13">
        <v>1168</v>
      </c>
      <c r="BA17" s="13">
        <v>332</v>
      </c>
      <c r="BB17" s="13">
        <v>1100</v>
      </c>
      <c r="BC17" s="13">
        <f t="shared" si="15"/>
        <v>-400</v>
      </c>
      <c r="BD17" s="60">
        <f t="shared" si="9"/>
        <v>-68</v>
      </c>
      <c r="BE17" s="12">
        <f t="shared" si="0"/>
        <v>11372</v>
      </c>
      <c r="BF17" s="13">
        <f t="shared" si="1"/>
        <v>10592</v>
      </c>
      <c r="BG17" s="13">
        <f t="shared" si="10"/>
        <v>332</v>
      </c>
      <c r="BH17" s="110">
        <f t="shared" si="2"/>
        <v>10203</v>
      </c>
      <c r="BI17" s="110">
        <f t="shared" si="11"/>
        <v>-1169</v>
      </c>
      <c r="BJ17" s="67">
        <f t="shared" si="12"/>
        <v>-389</v>
      </c>
    </row>
    <row r="18" spans="1:62" s="7" customFormat="1" ht="15">
      <c r="A18" s="246">
        <v>13</v>
      </c>
      <c r="B18" s="247" t="s">
        <v>11</v>
      </c>
      <c r="C18" s="12">
        <v>1204</v>
      </c>
      <c r="D18" s="13">
        <v>1170</v>
      </c>
      <c r="E18" s="13"/>
      <c r="F18" s="13">
        <f>1226+61</f>
        <v>1287</v>
      </c>
      <c r="G18" s="13">
        <f t="shared" si="3"/>
        <v>83</v>
      </c>
      <c r="H18" s="60">
        <f t="shared" si="4"/>
        <v>117</v>
      </c>
      <c r="I18" s="12">
        <v>193</v>
      </c>
      <c r="J18" s="13">
        <v>192</v>
      </c>
      <c r="K18" s="13"/>
      <c r="L18" s="13">
        <v>215</v>
      </c>
      <c r="M18" s="13">
        <f t="shared" si="5"/>
        <v>22</v>
      </c>
      <c r="N18" s="60">
        <f t="shared" si="6"/>
        <v>23</v>
      </c>
      <c r="O18" s="12">
        <v>854</v>
      </c>
      <c r="P18" s="13">
        <v>87</v>
      </c>
      <c r="Q18" s="13"/>
      <c r="R18" s="13">
        <v>769</v>
      </c>
      <c r="S18" s="13">
        <f t="shared" si="7"/>
        <v>-85</v>
      </c>
      <c r="T18" s="60">
        <f t="shared" si="8"/>
        <v>682</v>
      </c>
      <c r="U18" s="12"/>
      <c r="V18" s="13"/>
      <c r="W18" s="13"/>
      <c r="X18" s="13"/>
      <c r="Y18" s="13"/>
      <c r="Z18" s="60"/>
      <c r="AA18" s="12"/>
      <c r="AB18" s="13"/>
      <c r="AC18" s="13"/>
      <c r="AD18" s="13"/>
      <c r="AE18" s="13"/>
      <c r="AF18" s="60"/>
      <c r="AG18" s="12"/>
      <c r="AH18" s="13"/>
      <c r="AI18" s="13"/>
      <c r="AJ18" s="13"/>
      <c r="AK18" s="13">
        <f t="shared" si="13"/>
        <v>0</v>
      </c>
      <c r="AL18" s="60">
        <f t="shared" si="14"/>
        <v>0</v>
      </c>
      <c r="AM18" s="12"/>
      <c r="AN18" s="13"/>
      <c r="AO18" s="13"/>
      <c r="AP18" s="13"/>
      <c r="AQ18" s="13"/>
      <c r="AR18" s="60"/>
      <c r="AS18" s="12"/>
      <c r="AT18" s="13"/>
      <c r="AU18" s="13"/>
      <c r="AV18" s="13"/>
      <c r="AW18" s="13"/>
      <c r="AX18" s="60"/>
      <c r="AY18" s="12">
        <v>6000</v>
      </c>
      <c r="AZ18" s="13">
        <v>3439</v>
      </c>
      <c r="BA18" s="13">
        <v>454</v>
      </c>
      <c r="BB18" s="13">
        <v>10280</v>
      </c>
      <c r="BC18" s="13">
        <f t="shared" si="15"/>
        <v>4280</v>
      </c>
      <c r="BD18" s="60">
        <f t="shared" si="9"/>
        <v>6841</v>
      </c>
      <c r="BE18" s="12">
        <f t="shared" si="0"/>
        <v>8251</v>
      </c>
      <c r="BF18" s="13">
        <f t="shared" si="1"/>
        <v>4888</v>
      </c>
      <c r="BG18" s="13">
        <f t="shared" si="10"/>
        <v>454</v>
      </c>
      <c r="BH18" s="110">
        <f t="shared" si="2"/>
        <v>12551</v>
      </c>
      <c r="BI18" s="110">
        <f t="shared" si="11"/>
        <v>4300</v>
      </c>
      <c r="BJ18" s="67">
        <f t="shared" si="12"/>
        <v>7663</v>
      </c>
    </row>
    <row r="19" spans="1:62" s="7" customFormat="1" ht="15.75" thickBot="1">
      <c r="A19" s="247">
        <v>14</v>
      </c>
      <c r="B19" s="247" t="s">
        <v>12</v>
      </c>
      <c r="C19" s="12">
        <v>35028</v>
      </c>
      <c r="D19" s="13">
        <v>33450</v>
      </c>
      <c r="E19" s="13"/>
      <c r="F19" s="13">
        <v>38361</v>
      </c>
      <c r="G19" s="13">
        <f t="shared" si="3"/>
        <v>3333</v>
      </c>
      <c r="H19" s="60">
        <f t="shared" si="4"/>
        <v>4911</v>
      </c>
      <c r="I19" s="12">
        <v>5550</v>
      </c>
      <c r="J19" s="13">
        <v>5312</v>
      </c>
      <c r="K19" s="13"/>
      <c r="L19" s="13">
        <v>6081</v>
      </c>
      <c r="M19" s="13">
        <f t="shared" si="5"/>
        <v>531</v>
      </c>
      <c r="N19" s="60">
        <f t="shared" si="6"/>
        <v>769</v>
      </c>
      <c r="O19" s="12">
        <v>49993</v>
      </c>
      <c r="P19" s="13">
        <f>'[3]Shp op NSHPpl 11 12m  (2)'!$D$53-138</f>
        <v>42560</v>
      </c>
      <c r="Q19" s="13">
        <v>3011</v>
      </c>
      <c r="R19" s="13">
        <v>51095</v>
      </c>
      <c r="S19" s="13">
        <f t="shared" si="7"/>
        <v>1102</v>
      </c>
      <c r="T19" s="60">
        <f t="shared" si="8"/>
        <v>8535</v>
      </c>
      <c r="U19" s="12"/>
      <c r="V19" s="13"/>
      <c r="W19" s="13"/>
      <c r="X19" s="13"/>
      <c r="Y19" s="13"/>
      <c r="Z19" s="60"/>
      <c r="AA19" s="12"/>
      <c r="AB19" s="13"/>
      <c r="AC19" s="13"/>
      <c r="AD19" s="13"/>
      <c r="AE19" s="13"/>
      <c r="AF19" s="60"/>
      <c r="AG19" s="12">
        <v>10</v>
      </c>
      <c r="AH19" s="13">
        <v>10</v>
      </c>
      <c r="AI19" s="13"/>
      <c r="AJ19" s="13"/>
      <c r="AK19" s="13">
        <f t="shared" si="13"/>
        <v>-10</v>
      </c>
      <c r="AL19" s="60">
        <f t="shared" si="14"/>
        <v>-10</v>
      </c>
      <c r="AM19" s="12"/>
      <c r="AN19" s="13"/>
      <c r="AO19" s="13"/>
      <c r="AP19" s="13"/>
      <c r="AQ19" s="13"/>
      <c r="AR19" s="60"/>
      <c r="AS19" s="12"/>
      <c r="AT19" s="13"/>
      <c r="AU19" s="13"/>
      <c r="AV19" s="13"/>
      <c r="AW19" s="13"/>
      <c r="AX19" s="60"/>
      <c r="AY19" s="12">
        <v>2771</v>
      </c>
      <c r="AZ19" s="13">
        <f>1558+1166</f>
        <v>2724</v>
      </c>
      <c r="BA19" s="13">
        <v>32</v>
      </c>
      <c r="BB19" s="13">
        <v>4318</v>
      </c>
      <c r="BC19" s="13">
        <f t="shared" si="15"/>
        <v>1547</v>
      </c>
      <c r="BD19" s="60">
        <f t="shared" si="9"/>
        <v>1594</v>
      </c>
      <c r="BE19" s="12">
        <f t="shared" si="0"/>
        <v>93352</v>
      </c>
      <c r="BF19" s="13">
        <f t="shared" si="1"/>
        <v>84056</v>
      </c>
      <c r="BG19" s="13">
        <f t="shared" si="10"/>
        <v>3043</v>
      </c>
      <c r="BH19" s="110">
        <f t="shared" si="2"/>
        <v>99855</v>
      </c>
      <c r="BI19" s="110">
        <f t="shared" si="11"/>
        <v>6503</v>
      </c>
      <c r="BJ19" s="67">
        <f t="shared" si="12"/>
        <v>15799</v>
      </c>
    </row>
    <row r="20" spans="1:62" s="7" customFormat="1" ht="15">
      <c r="A20" s="246">
        <v>15</v>
      </c>
      <c r="B20" s="247" t="s">
        <v>16</v>
      </c>
      <c r="C20" s="12"/>
      <c r="D20" s="13"/>
      <c r="E20" s="13"/>
      <c r="F20" s="13"/>
      <c r="G20" s="13">
        <f t="shared" si="3"/>
        <v>0</v>
      </c>
      <c r="H20" s="60">
        <f t="shared" si="4"/>
        <v>0</v>
      </c>
      <c r="I20" s="12"/>
      <c r="J20" s="13"/>
      <c r="K20" s="13"/>
      <c r="L20" s="13"/>
      <c r="M20" s="13">
        <f t="shared" si="5"/>
        <v>0</v>
      </c>
      <c r="N20" s="60">
        <f t="shared" si="6"/>
        <v>0</v>
      </c>
      <c r="O20" s="12">
        <f>'Analiza 2010'!I20</f>
        <v>0</v>
      </c>
      <c r="P20" s="13"/>
      <c r="Q20" s="13"/>
      <c r="R20" s="13"/>
      <c r="S20" s="13">
        <f t="shared" si="7"/>
        <v>0</v>
      </c>
      <c r="T20" s="60">
        <f t="shared" si="8"/>
        <v>0</v>
      </c>
      <c r="U20" s="12"/>
      <c r="V20" s="13"/>
      <c r="W20" s="13"/>
      <c r="X20" s="13"/>
      <c r="Y20" s="13"/>
      <c r="Z20" s="60"/>
      <c r="AA20" s="12"/>
      <c r="AB20" s="13"/>
      <c r="AC20" s="13"/>
      <c r="AD20" s="13"/>
      <c r="AE20" s="13"/>
      <c r="AF20" s="60"/>
      <c r="AG20" s="12"/>
      <c r="AH20" s="13"/>
      <c r="AI20" s="13"/>
      <c r="AJ20" s="13"/>
      <c r="AK20" s="13">
        <f t="shared" si="13"/>
        <v>0</v>
      </c>
      <c r="AL20" s="60">
        <f t="shared" si="14"/>
        <v>0</v>
      </c>
      <c r="AM20" s="12"/>
      <c r="AN20" s="13"/>
      <c r="AO20" s="13"/>
      <c r="AP20" s="13"/>
      <c r="AQ20" s="13"/>
      <c r="AR20" s="60"/>
      <c r="AS20" s="12"/>
      <c r="AT20" s="13"/>
      <c r="AU20" s="13"/>
      <c r="AV20" s="13"/>
      <c r="AW20" s="13"/>
      <c r="AX20" s="60"/>
      <c r="AY20" s="12"/>
      <c r="AZ20" s="13"/>
      <c r="BA20" s="13"/>
      <c r="BB20" s="13"/>
      <c r="BC20" s="13">
        <f t="shared" si="15"/>
        <v>0</v>
      </c>
      <c r="BD20" s="60">
        <f t="shared" si="9"/>
        <v>0</v>
      </c>
      <c r="BE20" s="12">
        <f t="shared" si="0"/>
        <v>0</v>
      </c>
      <c r="BF20" s="13">
        <f t="shared" si="1"/>
        <v>0</v>
      </c>
      <c r="BG20" s="13">
        <f t="shared" si="10"/>
        <v>0</v>
      </c>
      <c r="BH20" s="110">
        <f t="shared" si="2"/>
        <v>0</v>
      </c>
      <c r="BI20" s="110">
        <f t="shared" si="11"/>
        <v>0</v>
      </c>
      <c r="BJ20" s="67">
        <f t="shared" si="12"/>
        <v>0</v>
      </c>
    </row>
    <row r="21" spans="1:62" s="7" customFormat="1" ht="15.75" thickBot="1">
      <c r="A21" s="247">
        <v>16</v>
      </c>
      <c r="B21" s="247" t="s">
        <v>28</v>
      </c>
      <c r="C21" s="12">
        <v>75014</v>
      </c>
      <c r="D21" s="13">
        <f>69950+1474</f>
        <v>71424</v>
      </c>
      <c r="E21" s="13"/>
      <c r="F21" s="13">
        <f>78886-4</f>
        <v>78882</v>
      </c>
      <c r="G21" s="13">
        <f t="shared" si="3"/>
        <v>3868</v>
      </c>
      <c r="H21" s="60">
        <f t="shared" si="4"/>
        <v>7458</v>
      </c>
      <c r="I21" s="12">
        <v>12152</v>
      </c>
      <c r="J21" s="13">
        <f>10403+1175</f>
        <v>11578</v>
      </c>
      <c r="K21" s="13"/>
      <c r="L21" s="13">
        <v>12590</v>
      </c>
      <c r="M21" s="13">
        <f t="shared" si="5"/>
        <v>438</v>
      </c>
      <c r="N21" s="60">
        <f t="shared" si="6"/>
        <v>1012</v>
      </c>
      <c r="O21" s="12">
        <f>'Analiza 2010'!I21</f>
        <v>46690</v>
      </c>
      <c r="P21" s="13">
        <f>'[1]Pl 2011'!$D$60-645</f>
        <v>36448</v>
      </c>
      <c r="Q21" s="13">
        <v>2552</v>
      </c>
      <c r="R21" s="13">
        <v>57529</v>
      </c>
      <c r="S21" s="13">
        <f t="shared" si="7"/>
        <v>10839</v>
      </c>
      <c r="T21" s="60">
        <f t="shared" si="8"/>
        <v>21081</v>
      </c>
      <c r="U21" s="12"/>
      <c r="V21" s="13"/>
      <c r="W21" s="13"/>
      <c r="X21" s="13"/>
      <c r="Y21" s="13"/>
      <c r="Z21" s="60"/>
      <c r="AA21" s="12">
        <v>8397</v>
      </c>
      <c r="AB21" s="13">
        <f>'Analiza 2010'!P21</f>
        <v>2487</v>
      </c>
      <c r="AC21" s="13">
        <v>2238</v>
      </c>
      <c r="AD21" s="13">
        <v>13034</v>
      </c>
      <c r="AE21" s="13">
        <f>AD21-AA21</f>
        <v>4637</v>
      </c>
      <c r="AF21" s="60">
        <f>AD21-AB21</f>
        <v>10547</v>
      </c>
      <c r="AG21" s="12">
        <v>750</v>
      </c>
      <c r="AH21" s="13">
        <v>750</v>
      </c>
      <c r="AI21" s="13">
        <v>20</v>
      </c>
      <c r="AJ21" s="13">
        <v>660</v>
      </c>
      <c r="AK21" s="13">
        <f t="shared" si="13"/>
        <v>-90</v>
      </c>
      <c r="AL21" s="60">
        <f t="shared" si="14"/>
        <v>-90</v>
      </c>
      <c r="AM21" s="12"/>
      <c r="AN21" s="13"/>
      <c r="AO21" s="13"/>
      <c r="AP21" s="13"/>
      <c r="AQ21" s="13"/>
      <c r="AR21" s="60"/>
      <c r="AS21" s="12">
        <v>10500</v>
      </c>
      <c r="AT21" s="13">
        <v>5188</v>
      </c>
      <c r="AU21" s="13">
        <v>5300</v>
      </c>
      <c r="AV21" s="13"/>
      <c r="AW21" s="13">
        <f>AV21-AS21</f>
        <v>-10500</v>
      </c>
      <c r="AX21" s="60">
        <f>AV21-AT21</f>
        <v>-5188</v>
      </c>
      <c r="AY21" s="12">
        <v>2626</v>
      </c>
      <c r="AZ21" s="13">
        <v>1314</v>
      </c>
      <c r="BA21" s="13">
        <v>821</v>
      </c>
      <c r="BB21" s="13">
        <v>2170</v>
      </c>
      <c r="BC21" s="13">
        <f t="shared" si="15"/>
        <v>-456</v>
      </c>
      <c r="BD21" s="60">
        <f t="shared" si="9"/>
        <v>856</v>
      </c>
      <c r="BE21" s="12">
        <f t="shared" si="0"/>
        <v>156129</v>
      </c>
      <c r="BF21" s="13">
        <f>D21+J21+P21+V21+AB21+AH21+AN21+AT21+AZ21</f>
        <v>129189</v>
      </c>
      <c r="BG21" s="13">
        <f t="shared" si="10"/>
        <v>10931</v>
      </c>
      <c r="BH21" s="110">
        <f t="shared" si="2"/>
        <v>164865</v>
      </c>
      <c r="BI21" s="110">
        <f t="shared" si="11"/>
        <v>8736</v>
      </c>
      <c r="BJ21" s="67">
        <f t="shared" si="12"/>
        <v>35676</v>
      </c>
    </row>
    <row r="22" spans="1:62" s="7" customFormat="1" ht="15">
      <c r="A22" s="246">
        <v>17</v>
      </c>
      <c r="B22" s="247" t="s">
        <v>103</v>
      </c>
      <c r="C22" s="12"/>
      <c r="D22" s="13"/>
      <c r="E22" s="13"/>
      <c r="F22" s="13"/>
      <c r="G22" s="13">
        <f t="shared" si="3"/>
        <v>0</v>
      </c>
      <c r="H22" s="60">
        <f t="shared" si="4"/>
        <v>0</v>
      </c>
      <c r="I22" s="12"/>
      <c r="J22" s="13"/>
      <c r="K22" s="13"/>
      <c r="L22" s="13"/>
      <c r="M22" s="13">
        <f t="shared" si="5"/>
        <v>0</v>
      </c>
      <c r="N22" s="60">
        <f t="shared" si="6"/>
        <v>0</v>
      </c>
      <c r="O22" s="12">
        <f>'Analiza 2010'!I22</f>
        <v>645</v>
      </c>
      <c r="P22" s="13">
        <v>645</v>
      </c>
      <c r="Q22" s="13"/>
      <c r="R22" s="13">
        <v>4200</v>
      </c>
      <c r="S22" s="13">
        <f t="shared" si="7"/>
        <v>3555</v>
      </c>
      <c r="T22" s="60">
        <f t="shared" si="8"/>
        <v>3555</v>
      </c>
      <c r="U22" s="12"/>
      <c r="V22" s="13"/>
      <c r="W22" s="13"/>
      <c r="X22" s="13"/>
      <c r="Y22" s="13"/>
      <c r="Z22" s="60"/>
      <c r="AA22" s="12"/>
      <c r="AB22" s="13"/>
      <c r="AC22" s="13"/>
      <c r="AD22" s="13"/>
      <c r="AE22" s="13">
        <f>AD22-AA22</f>
        <v>0</v>
      </c>
      <c r="AF22" s="60">
        <f>AD22-AB22</f>
        <v>0</v>
      </c>
      <c r="AG22" s="12"/>
      <c r="AH22" s="13"/>
      <c r="AI22" s="13"/>
      <c r="AJ22" s="13"/>
      <c r="AK22" s="13">
        <f t="shared" si="13"/>
        <v>0</v>
      </c>
      <c r="AL22" s="60">
        <f t="shared" si="14"/>
        <v>0</v>
      </c>
      <c r="AM22" s="12"/>
      <c r="AN22" s="13"/>
      <c r="AO22" s="13"/>
      <c r="AP22" s="13"/>
      <c r="AQ22" s="13"/>
      <c r="AR22" s="60"/>
      <c r="AS22" s="12"/>
      <c r="AT22" s="13"/>
      <c r="AU22" s="13"/>
      <c r="AV22" s="13"/>
      <c r="AW22" s="13">
        <f>AV22-AS22</f>
        <v>0</v>
      </c>
      <c r="AX22" s="60">
        <f>AV22-AT22</f>
        <v>0</v>
      </c>
      <c r="AY22" s="12"/>
      <c r="AZ22" s="13"/>
      <c r="BA22" s="13"/>
      <c r="BB22" s="13"/>
      <c r="BC22" s="13">
        <f t="shared" si="15"/>
        <v>0</v>
      </c>
      <c r="BD22" s="60">
        <f t="shared" si="9"/>
        <v>0</v>
      </c>
      <c r="BE22" s="12">
        <f t="shared" si="0"/>
        <v>645</v>
      </c>
      <c r="BF22" s="13">
        <f t="shared" si="1"/>
        <v>645</v>
      </c>
      <c r="BG22" s="13">
        <f t="shared" si="10"/>
        <v>0</v>
      </c>
      <c r="BH22" s="110">
        <f t="shared" si="2"/>
        <v>4200</v>
      </c>
      <c r="BI22" s="110">
        <f t="shared" si="11"/>
        <v>3555</v>
      </c>
      <c r="BJ22" s="67">
        <f t="shared" si="12"/>
        <v>3555</v>
      </c>
    </row>
    <row r="23" spans="1:62" s="7" customFormat="1" ht="15.75" thickBot="1">
      <c r="A23" s="247">
        <v>18</v>
      </c>
      <c r="B23" s="248" t="s">
        <v>26</v>
      </c>
      <c r="C23" s="12"/>
      <c r="D23" s="13"/>
      <c r="E23" s="13">
        <v>200</v>
      </c>
      <c r="F23" s="13"/>
      <c r="G23" s="13">
        <f t="shared" si="3"/>
        <v>0</v>
      </c>
      <c r="H23" s="60">
        <f t="shared" si="4"/>
        <v>0</v>
      </c>
      <c r="I23" s="12"/>
      <c r="J23" s="13"/>
      <c r="K23" s="13">
        <v>27</v>
      </c>
      <c r="L23" s="13"/>
      <c r="M23" s="13">
        <f t="shared" si="5"/>
        <v>0</v>
      </c>
      <c r="N23" s="60">
        <f t="shared" si="6"/>
        <v>0</v>
      </c>
      <c r="O23" s="12">
        <f>'Analiza 2010'!I23</f>
        <v>0</v>
      </c>
      <c r="P23" s="13">
        <f>'Analiza 2010'!J23</f>
        <v>0</v>
      </c>
      <c r="Q23" s="13">
        <v>812</v>
      </c>
      <c r="R23" s="13"/>
      <c r="S23" s="13">
        <f t="shared" si="7"/>
        <v>0</v>
      </c>
      <c r="T23" s="60">
        <f t="shared" si="8"/>
        <v>0</v>
      </c>
      <c r="U23" s="12"/>
      <c r="V23" s="13"/>
      <c r="W23" s="13"/>
      <c r="X23" s="13"/>
      <c r="Y23" s="13"/>
      <c r="Z23" s="60"/>
      <c r="AA23" s="12"/>
      <c r="AB23" s="13"/>
      <c r="AC23" s="13">
        <v>275</v>
      </c>
      <c r="AD23" s="13"/>
      <c r="AE23" s="13">
        <f aca="true" t="shared" si="16" ref="AE23:AE40">AD23-AA23</f>
        <v>0</v>
      </c>
      <c r="AF23" s="60">
        <f aca="true" t="shared" si="17" ref="AF23:AF40">AD23-AB23</f>
        <v>0</v>
      </c>
      <c r="AG23" s="12"/>
      <c r="AH23" s="13"/>
      <c r="AI23" s="13"/>
      <c r="AJ23" s="13"/>
      <c r="AK23" s="13">
        <f t="shared" si="13"/>
        <v>0</v>
      </c>
      <c r="AL23" s="60">
        <f t="shared" si="14"/>
        <v>0</v>
      </c>
      <c r="AM23" s="12"/>
      <c r="AN23" s="13"/>
      <c r="AO23" s="13"/>
      <c r="AP23" s="13"/>
      <c r="AQ23" s="13"/>
      <c r="AR23" s="60"/>
      <c r="AS23" s="12"/>
      <c r="AT23" s="13"/>
      <c r="AU23" s="13"/>
      <c r="AV23" s="13"/>
      <c r="AW23" s="13">
        <f aca="true" t="shared" si="18" ref="AW23:AW42">AV23-AS23</f>
        <v>0</v>
      </c>
      <c r="AX23" s="60">
        <f aca="true" t="shared" si="19" ref="AX23:AX43">AV23-AT23</f>
        <v>0</v>
      </c>
      <c r="AY23" s="12"/>
      <c r="AZ23" s="13"/>
      <c r="BA23" s="13">
        <v>444</v>
      </c>
      <c r="BB23" s="13"/>
      <c r="BC23" s="13">
        <f t="shared" si="15"/>
        <v>0</v>
      </c>
      <c r="BD23" s="60">
        <f t="shared" si="9"/>
        <v>0</v>
      </c>
      <c r="BE23" s="12">
        <f t="shared" si="0"/>
        <v>0</v>
      </c>
      <c r="BF23" s="13">
        <f t="shared" si="1"/>
        <v>0</v>
      </c>
      <c r="BG23" s="13">
        <f t="shared" si="10"/>
        <v>1758</v>
      </c>
      <c r="BH23" s="110">
        <f t="shared" si="2"/>
        <v>0</v>
      </c>
      <c r="BI23" s="110">
        <f t="shared" si="11"/>
        <v>0</v>
      </c>
      <c r="BJ23" s="67">
        <f t="shared" si="12"/>
        <v>0</v>
      </c>
    </row>
    <row r="24" spans="1:62" s="7" customFormat="1" ht="15">
      <c r="A24" s="246">
        <v>19</v>
      </c>
      <c r="B24" s="248" t="s">
        <v>94</v>
      </c>
      <c r="C24" s="12"/>
      <c r="D24" s="13"/>
      <c r="E24" s="13"/>
      <c r="F24" s="13"/>
      <c r="G24" s="13">
        <f t="shared" si="3"/>
        <v>0</v>
      </c>
      <c r="H24" s="60">
        <f t="shared" si="4"/>
        <v>0</v>
      </c>
      <c r="I24" s="12"/>
      <c r="J24" s="13"/>
      <c r="K24" s="13"/>
      <c r="L24" s="13"/>
      <c r="M24" s="13">
        <f t="shared" si="5"/>
        <v>0</v>
      </c>
      <c r="N24" s="60">
        <f t="shared" si="6"/>
        <v>0</v>
      </c>
      <c r="O24" s="12">
        <f>'Analiza 2010'!I24</f>
        <v>0</v>
      </c>
      <c r="P24" s="13"/>
      <c r="Q24" s="13"/>
      <c r="R24" s="13"/>
      <c r="S24" s="13">
        <f t="shared" si="7"/>
        <v>0</v>
      </c>
      <c r="T24" s="60">
        <f t="shared" si="8"/>
        <v>0</v>
      </c>
      <c r="U24" s="12"/>
      <c r="V24" s="13"/>
      <c r="W24" s="13"/>
      <c r="X24" s="13"/>
      <c r="Y24" s="13"/>
      <c r="Z24" s="60"/>
      <c r="AA24" s="12"/>
      <c r="AB24" s="13"/>
      <c r="AC24" s="13"/>
      <c r="AD24" s="13"/>
      <c r="AE24" s="13">
        <f t="shared" si="16"/>
        <v>0</v>
      </c>
      <c r="AF24" s="60">
        <f t="shared" si="17"/>
        <v>0</v>
      </c>
      <c r="AG24" s="12"/>
      <c r="AH24" s="13"/>
      <c r="AI24" s="13"/>
      <c r="AJ24" s="13"/>
      <c r="AK24" s="13">
        <f t="shared" si="13"/>
        <v>0</v>
      </c>
      <c r="AL24" s="60">
        <f t="shared" si="14"/>
        <v>0</v>
      </c>
      <c r="AM24" s="12"/>
      <c r="AN24" s="13"/>
      <c r="AO24" s="13"/>
      <c r="AP24" s="13"/>
      <c r="AQ24" s="13"/>
      <c r="AR24" s="60"/>
      <c r="AS24" s="12"/>
      <c r="AT24" s="13"/>
      <c r="AU24" s="13"/>
      <c r="AV24" s="13"/>
      <c r="AW24" s="13">
        <f t="shared" si="18"/>
        <v>0</v>
      </c>
      <c r="AX24" s="60">
        <f t="shared" si="19"/>
        <v>0</v>
      </c>
      <c r="AY24" s="12"/>
      <c r="AZ24" s="13"/>
      <c r="BA24" s="13"/>
      <c r="BB24" s="13"/>
      <c r="BC24" s="13">
        <f t="shared" si="15"/>
        <v>0</v>
      </c>
      <c r="BD24" s="60">
        <f t="shared" si="9"/>
        <v>0</v>
      </c>
      <c r="BE24" s="12">
        <f t="shared" si="0"/>
        <v>0</v>
      </c>
      <c r="BF24" s="13">
        <f t="shared" si="1"/>
        <v>0</v>
      </c>
      <c r="BG24" s="13">
        <f t="shared" si="10"/>
        <v>0</v>
      </c>
      <c r="BH24" s="110">
        <f t="shared" si="2"/>
        <v>0</v>
      </c>
      <c r="BI24" s="110">
        <f t="shared" si="11"/>
        <v>0</v>
      </c>
      <c r="BJ24" s="67">
        <f t="shared" si="12"/>
        <v>0</v>
      </c>
    </row>
    <row r="25" spans="1:62" s="7" customFormat="1" ht="15.75" thickBot="1">
      <c r="A25" s="247">
        <v>20</v>
      </c>
      <c r="B25" s="247" t="s">
        <v>29</v>
      </c>
      <c r="C25" s="12"/>
      <c r="D25" s="13"/>
      <c r="E25" s="13"/>
      <c r="F25" s="13"/>
      <c r="G25" s="13">
        <f t="shared" si="3"/>
        <v>0</v>
      </c>
      <c r="H25" s="60">
        <f t="shared" si="4"/>
        <v>0</v>
      </c>
      <c r="I25" s="12"/>
      <c r="J25" s="13"/>
      <c r="K25" s="13"/>
      <c r="L25" s="13"/>
      <c r="M25" s="13">
        <f t="shared" si="5"/>
        <v>0</v>
      </c>
      <c r="N25" s="60">
        <f t="shared" si="6"/>
        <v>0</v>
      </c>
      <c r="O25" s="12">
        <f>'Analiza 2010'!I25</f>
        <v>0</v>
      </c>
      <c r="P25" s="13"/>
      <c r="Q25" s="13"/>
      <c r="R25" s="13"/>
      <c r="S25" s="13">
        <f t="shared" si="7"/>
        <v>0</v>
      </c>
      <c r="T25" s="60">
        <f t="shared" si="8"/>
        <v>0</v>
      </c>
      <c r="U25" s="12"/>
      <c r="V25" s="13"/>
      <c r="W25" s="13"/>
      <c r="X25" s="13"/>
      <c r="Y25" s="13"/>
      <c r="Z25" s="60"/>
      <c r="AA25" s="12"/>
      <c r="AB25" s="13"/>
      <c r="AC25" s="13"/>
      <c r="AD25" s="13"/>
      <c r="AE25" s="13">
        <f t="shared" si="16"/>
        <v>0</v>
      </c>
      <c r="AF25" s="60">
        <f t="shared" si="17"/>
        <v>0</v>
      </c>
      <c r="AG25" s="12"/>
      <c r="AH25" s="13"/>
      <c r="AI25" s="13"/>
      <c r="AJ25" s="13"/>
      <c r="AK25" s="13">
        <f t="shared" si="13"/>
        <v>0</v>
      </c>
      <c r="AL25" s="60">
        <f t="shared" si="14"/>
        <v>0</v>
      </c>
      <c r="AM25" s="12"/>
      <c r="AN25" s="13"/>
      <c r="AO25" s="13"/>
      <c r="AP25" s="13"/>
      <c r="AQ25" s="13"/>
      <c r="AR25" s="60"/>
      <c r="AS25" s="12"/>
      <c r="AT25" s="13"/>
      <c r="AU25" s="13"/>
      <c r="AV25" s="13"/>
      <c r="AW25" s="13">
        <f t="shared" si="18"/>
        <v>0</v>
      </c>
      <c r="AX25" s="60">
        <f t="shared" si="19"/>
        <v>0</v>
      </c>
      <c r="AY25" s="12">
        <v>88796</v>
      </c>
      <c r="AZ25" s="13">
        <v>61024</v>
      </c>
      <c r="BA25" s="13">
        <v>15826</v>
      </c>
      <c r="BB25" s="13">
        <v>117866</v>
      </c>
      <c r="BC25" s="13">
        <f t="shared" si="15"/>
        <v>29070</v>
      </c>
      <c r="BD25" s="60">
        <f t="shared" si="9"/>
        <v>56842</v>
      </c>
      <c r="BE25" s="12">
        <f t="shared" si="0"/>
        <v>88796</v>
      </c>
      <c r="BF25" s="13">
        <f t="shared" si="1"/>
        <v>61024</v>
      </c>
      <c r="BG25" s="13">
        <f t="shared" si="10"/>
        <v>15826</v>
      </c>
      <c r="BH25" s="110">
        <f t="shared" si="2"/>
        <v>117866</v>
      </c>
      <c r="BI25" s="110">
        <f t="shared" si="11"/>
        <v>29070</v>
      </c>
      <c r="BJ25" s="67">
        <f t="shared" si="12"/>
        <v>56842</v>
      </c>
    </row>
    <row r="26" spans="1:62" ht="15">
      <c r="A26" s="246">
        <v>21</v>
      </c>
      <c r="B26" s="247" t="s">
        <v>39</v>
      </c>
      <c r="C26" s="12"/>
      <c r="D26" s="13"/>
      <c r="E26" s="13"/>
      <c r="F26" s="13"/>
      <c r="G26" s="13">
        <f t="shared" si="3"/>
        <v>0</v>
      </c>
      <c r="H26" s="60">
        <f t="shared" si="4"/>
        <v>0</v>
      </c>
      <c r="I26" s="12"/>
      <c r="J26" s="13"/>
      <c r="K26" s="13"/>
      <c r="L26" s="13"/>
      <c r="M26" s="13">
        <f t="shared" si="5"/>
        <v>0</v>
      </c>
      <c r="N26" s="60">
        <f t="shared" si="6"/>
        <v>0</v>
      </c>
      <c r="O26" s="12">
        <f>'Analiza 2010'!I26</f>
        <v>0</v>
      </c>
      <c r="P26" s="13"/>
      <c r="Q26" s="13"/>
      <c r="R26" s="13"/>
      <c r="S26" s="13">
        <f t="shared" si="7"/>
        <v>0</v>
      </c>
      <c r="T26" s="60">
        <f t="shared" si="8"/>
        <v>0</v>
      </c>
      <c r="U26" s="18"/>
      <c r="V26" s="17"/>
      <c r="W26" s="17"/>
      <c r="X26" s="17"/>
      <c r="Y26" s="17"/>
      <c r="Z26" s="61"/>
      <c r="AA26" s="18"/>
      <c r="AB26" s="17"/>
      <c r="AC26" s="17"/>
      <c r="AD26" s="17"/>
      <c r="AE26" s="13">
        <f t="shared" si="16"/>
        <v>0</v>
      </c>
      <c r="AF26" s="60">
        <f t="shared" si="17"/>
        <v>0</v>
      </c>
      <c r="AG26" s="18"/>
      <c r="AH26" s="17"/>
      <c r="AI26" s="17"/>
      <c r="AJ26" s="17"/>
      <c r="AK26" s="13">
        <f t="shared" si="13"/>
        <v>0</v>
      </c>
      <c r="AL26" s="60">
        <f t="shared" si="14"/>
        <v>0</v>
      </c>
      <c r="AM26" s="18"/>
      <c r="AN26" s="17"/>
      <c r="AO26" s="17"/>
      <c r="AP26" s="17"/>
      <c r="AQ26" s="17"/>
      <c r="AR26" s="61"/>
      <c r="AS26" s="18"/>
      <c r="AT26" s="17"/>
      <c r="AU26" s="17"/>
      <c r="AV26" s="17"/>
      <c r="AW26" s="13">
        <f t="shared" si="18"/>
        <v>0</v>
      </c>
      <c r="AX26" s="60">
        <f t="shared" si="19"/>
        <v>0</v>
      </c>
      <c r="AY26" s="18"/>
      <c r="AZ26" s="17"/>
      <c r="BA26" s="17"/>
      <c r="BB26" s="17"/>
      <c r="BC26" s="13">
        <f t="shared" si="15"/>
        <v>0</v>
      </c>
      <c r="BD26" s="60">
        <f t="shared" si="9"/>
        <v>0</v>
      </c>
      <c r="BE26" s="12">
        <f t="shared" si="0"/>
        <v>0</v>
      </c>
      <c r="BF26" s="13">
        <f t="shared" si="1"/>
        <v>0</v>
      </c>
      <c r="BG26" s="13">
        <f t="shared" si="10"/>
        <v>0</v>
      </c>
      <c r="BH26" s="110">
        <f t="shared" si="2"/>
        <v>0</v>
      </c>
      <c r="BI26" s="110">
        <f t="shared" si="11"/>
        <v>0</v>
      </c>
      <c r="BJ26" s="67">
        <f t="shared" si="12"/>
        <v>0</v>
      </c>
    </row>
    <row r="27" spans="1:62" ht="15.75" thickBot="1">
      <c r="A27" s="247">
        <v>22</v>
      </c>
      <c r="B27" s="247" t="s">
        <v>105</v>
      </c>
      <c r="C27" s="12"/>
      <c r="D27" s="13"/>
      <c r="E27" s="13"/>
      <c r="F27" s="13"/>
      <c r="G27" s="13">
        <f t="shared" si="3"/>
        <v>0</v>
      </c>
      <c r="H27" s="60">
        <f t="shared" si="4"/>
        <v>0</v>
      </c>
      <c r="I27" s="12"/>
      <c r="J27" s="13"/>
      <c r="K27" s="13"/>
      <c r="L27" s="13"/>
      <c r="M27" s="13">
        <f t="shared" si="5"/>
        <v>0</v>
      </c>
      <c r="N27" s="60">
        <f t="shared" si="6"/>
        <v>0</v>
      </c>
      <c r="O27" s="12">
        <f>'Analiza 2010'!I27</f>
        <v>0</v>
      </c>
      <c r="P27" s="13"/>
      <c r="Q27" s="13"/>
      <c r="R27" s="13"/>
      <c r="S27" s="13">
        <f t="shared" si="7"/>
        <v>0</v>
      </c>
      <c r="T27" s="60">
        <f t="shared" si="8"/>
        <v>0</v>
      </c>
      <c r="U27" s="18"/>
      <c r="V27" s="17"/>
      <c r="W27" s="17"/>
      <c r="X27" s="17"/>
      <c r="Y27" s="17"/>
      <c r="Z27" s="61"/>
      <c r="AA27" s="18"/>
      <c r="AB27" s="17"/>
      <c r="AC27" s="17"/>
      <c r="AD27" s="17"/>
      <c r="AE27" s="13">
        <f t="shared" si="16"/>
        <v>0</v>
      </c>
      <c r="AF27" s="60">
        <f t="shared" si="17"/>
        <v>0</v>
      </c>
      <c r="AG27" s="18"/>
      <c r="AH27" s="17"/>
      <c r="AI27" s="17"/>
      <c r="AJ27" s="17"/>
      <c r="AK27" s="13">
        <f t="shared" si="13"/>
        <v>0</v>
      </c>
      <c r="AL27" s="60">
        <f t="shared" si="14"/>
        <v>0</v>
      </c>
      <c r="AM27" s="18"/>
      <c r="AN27" s="17"/>
      <c r="AO27" s="17"/>
      <c r="AP27" s="17"/>
      <c r="AQ27" s="17"/>
      <c r="AR27" s="61"/>
      <c r="AS27" s="18"/>
      <c r="AT27" s="17"/>
      <c r="AU27" s="17"/>
      <c r="AV27" s="17"/>
      <c r="AW27" s="13">
        <f t="shared" si="18"/>
        <v>0</v>
      </c>
      <c r="AX27" s="60">
        <f t="shared" si="19"/>
        <v>0</v>
      </c>
      <c r="AY27" s="18">
        <v>1594</v>
      </c>
      <c r="AZ27" s="17">
        <v>947</v>
      </c>
      <c r="BA27" s="17">
        <v>647</v>
      </c>
      <c r="BB27" s="17"/>
      <c r="BC27" s="13">
        <f t="shared" si="15"/>
        <v>-1594</v>
      </c>
      <c r="BD27" s="60">
        <f t="shared" si="9"/>
        <v>-947</v>
      </c>
      <c r="BE27" s="12">
        <f aca="true" t="shared" si="20" ref="BE27:BE41">C27+I27+O27+U27+AA27+AG27+AM27+AS27+AY27</f>
        <v>1594</v>
      </c>
      <c r="BF27" s="13">
        <f t="shared" si="1"/>
        <v>947</v>
      </c>
      <c r="BG27" s="13">
        <f t="shared" si="10"/>
        <v>647</v>
      </c>
      <c r="BH27" s="110">
        <f t="shared" si="2"/>
        <v>0</v>
      </c>
      <c r="BI27" s="110">
        <f t="shared" si="11"/>
        <v>-1594</v>
      </c>
      <c r="BJ27" s="67">
        <f t="shared" si="12"/>
        <v>-947</v>
      </c>
    </row>
    <row r="28" spans="1:62" ht="15">
      <c r="A28" s="246">
        <v>23</v>
      </c>
      <c r="B28" s="247" t="s">
        <v>30</v>
      </c>
      <c r="C28" s="12"/>
      <c r="D28" s="13"/>
      <c r="E28" s="13"/>
      <c r="F28" s="13"/>
      <c r="G28" s="13">
        <f t="shared" si="3"/>
        <v>0</v>
      </c>
      <c r="H28" s="60">
        <f t="shared" si="4"/>
        <v>0</v>
      </c>
      <c r="I28" s="12"/>
      <c r="J28" s="13"/>
      <c r="K28" s="13"/>
      <c r="L28" s="13"/>
      <c r="M28" s="13">
        <f t="shared" si="5"/>
        <v>0</v>
      </c>
      <c r="N28" s="60">
        <f t="shared" si="6"/>
        <v>0</v>
      </c>
      <c r="O28" s="12">
        <f>'Analiza 2010'!I28</f>
        <v>0</v>
      </c>
      <c r="P28" s="13"/>
      <c r="Q28" s="13"/>
      <c r="R28" s="13"/>
      <c r="S28" s="13">
        <f t="shared" si="7"/>
        <v>0</v>
      </c>
      <c r="T28" s="60">
        <f t="shared" si="8"/>
        <v>0</v>
      </c>
      <c r="U28" s="18"/>
      <c r="V28" s="17"/>
      <c r="W28" s="17"/>
      <c r="X28" s="17"/>
      <c r="Y28" s="17"/>
      <c r="Z28" s="61"/>
      <c r="AA28" s="18"/>
      <c r="AB28" s="17"/>
      <c r="AC28" s="17"/>
      <c r="AD28" s="17"/>
      <c r="AE28" s="13">
        <f t="shared" si="16"/>
        <v>0</v>
      </c>
      <c r="AF28" s="60">
        <f t="shared" si="17"/>
        <v>0</v>
      </c>
      <c r="AG28" s="18"/>
      <c r="AH28" s="17"/>
      <c r="AI28" s="17"/>
      <c r="AJ28" s="17"/>
      <c r="AK28" s="13">
        <f t="shared" si="13"/>
        <v>0</v>
      </c>
      <c r="AL28" s="60">
        <f t="shared" si="14"/>
        <v>0</v>
      </c>
      <c r="AM28" s="18"/>
      <c r="AN28" s="17"/>
      <c r="AO28" s="17"/>
      <c r="AP28" s="17"/>
      <c r="AQ28" s="17"/>
      <c r="AR28" s="61"/>
      <c r="AS28" s="18"/>
      <c r="AT28" s="17"/>
      <c r="AU28" s="17"/>
      <c r="AV28" s="17"/>
      <c r="AW28" s="13">
        <f t="shared" si="18"/>
        <v>0</v>
      </c>
      <c r="AX28" s="60">
        <f t="shared" si="19"/>
        <v>0</v>
      </c>
      <c r="AY28" s="12">
        <v>77</v>
      </c>
      <c r="AZ28" s="13"/>
      <c r="BA28" s="13">
        <v>2000</v>
      </c>
      <c r="BB28" s="13">
        <f>1130</f>
        <v>1130</v>
      </c>
      <c r="BC28" s="13">
        <f t="shared" si="15"/>
        <v>1053</v>
      </c>
      <c r="BD28" s="60">
        <f t="shared" si="9"/>
        <v>1130</v>
      </c>
      <c r="BE28" s="12">
        <f t="shared" si="20"/>
        <v>77</v>
      </c>
      <c r="BF28" s="13">
        <f aca="true" t="shared" si="21" ref="BF28:BF41">D28+J28+P28+V28+AB28+AH28+AN28+AT28+AZ28</f>
        <v>0</v>
      </c>
      <c r="BG28" s="13">
        <f t="shared" si="10"/>
        <v>2000</v>
      </c>
      <c r="BH28" s="110">
        <f t="shared" si="2"/>
        <v>1130</v>
      </c>
      <c r="BI28" s="110">
        <f t="shared" si="11"/>
        <v>1053</v>
      </c>
      <c r="BJ28" s="67">
        <f t="shared" si="12"/>
        <v>1130</v>
      </c>
    </row>
    <row r="29" spans="1:62" ht="15.75" thickBot="1">
      <c r="A29" s="247">
        <v>24</v>
      </c>
      <c r="B29" s="247" t="s">
        <v>25</v>
      </c>
      <c r="C29" s="12"/>
      <c r="D29" s="13"/>
      <c r="E29" s="13"/>
      <c r="F29" s="13"/>
      <c r="G29" s="13">
        <f t="shared" si="3"/>
        <v>0</v>
      </c>
      <c r="H29" s="60">
        <f t="shared" si="4"/>
        <v>0</v>
      </c>
      <c r="I29" s="12"/>
      <c r="J29" s="13"/>
      <c r="K29" s="13"/>
      <c r="L29" s="13"/>
      <c r="M29" s="13">
        <f t="shared" si="5"/>
        <v>0</v>
      </c>
      <c r="N29" s="60">
        <f t="shared" si="6"/>
        <v>0</v>
      </c>
      <c r="O29" s="12">
        <f>'Analiza 2010'!I29</f>
        <v>0</v>
      </c>
      <c r="P29" s="13"/>
      <c r="Q29" s="13"/>
      <c r="R29" s="13"/>
      <c r="S29" s="13">
        <f t="shared" si="7"/>
        <v>0</v>
      </c>
      <c r="T29" s="60">
        <f t="shared" si="8"/>
        <v>0</v>
      </c>
      <c r="U29" s="18"/>
      <c r="V29" s="17"/>
      <c r="W29" s="17"/>
      <c r="X29" s="17"/>
      <c r="Y29" s="17"/>
      <c r="Z29" s="61"/>
      <c r="AA29" s="18"/>
      <c r="AB29" s="17"/>
      <c r="AC29" s="17"/>
      <c r="AD29" s="17"/>
      <c r="AE29" s="13">
        <f t="shared" si="16"/>
        <v>0</v>
      </c>
      <c r="AF29" s="60">
        <f t="shared" si="17"/>
        <v>0</v>
      </c>
      <c r="AG29" s="18"/>
      <c r="AH29" s="17"/>
      <c r="AI29" s="17"/>
      <c r="AJ29" s="17"/>
      <c r="AK29" s="13">
        <f t="shared" si="13"/>
        <v>0</v>
      </c>
      <c r="AL29" s="60">
        <f t="shared" si="14"/>
        <v>0</v>
      </c>
      <c r="AM29" s="18"/>
      <c r="AN29" s="17"/>
      <c r="AO29" s="17"/>
      <c r="AP29" s="17"/>
      <c r="AQ29" s="17"/>
      <c r="AR29" s="61"/>
      <c r="AS29" s="18"/>
      <c r="AT29" s="17"/>
      <c r="AU29" s="17"/>
      <c r="AV29" s="17"/>
      <c r="AW29" s="13">
        <f t="shared" si="18"/>
        <v>0</v>
      </c>
      <c r="AX29" s="60">
        <f t="shared" si="19"/>
        <v>0</v>
      </c>
      <c r="AY29" s="18"/>
      <c r="AZ29" s="17"/>
      <c r="BA29" s="17">
        <v>1384</v>
      </c>
      <c r="BB29" s="17"/>
      <c r="BC29" s="13">
        <f t="shared" si="15"/>
        <v>0</v>
      </c>
      <c r="BD29" s="60">
        <f t="shared" si="9"/>
        <v>0</v>
      </c>
      <c r="BE29" s="12">
        <f t="shared" si="20"/>
        <v>0</v>
      </c>
      <c r="BF29" s="13">
        <f t="shared" si="21"/>
        <v>0</v>
      </c>
      <c r="BG29" s="13">
        <f t="shared" si="10"/>
        <v>1384</v>
      </c>
      <c r="BH29" s="110">
        <f t="shared" si="2"/>
        <v>0</v>
      </c>
      <c r="BI29" s="110">
        <f t="shared" si="11"/>
        <v>0</v>
      </c>
      <c r="BJ29" s="67">
        <f t="shared" si="12"/>
        <v>0</v>
      </c>
    </row>
    <row r="30" spans="1:62" ht="15">
      <c r="A30" s="246">
        <v>25</v>
      </c>
      <c r="B30" s="247" t="s">
        <v>17</v>
      </c>
      <c r="C30" s="18"/>
      <c r="D30" s="17"/>
      <c r="E30" s="17"/>
      <c r="F30" s="13"/>
      <c r="G30" s="13">
        <f t="shared" si="3"/>
        <v>0</v>
      </c>
      <c r="H30" s="60">
        <f t="shared" si="4"/>
        <v>0</v>
      </c>
      <c r="I30" s="18"/>
      <c r="J30" s="17"/>
      <c r="K30" s="17"/>
      <c r="L30" s="13"/>
      <c r="M30" s="13">
        <f t="shared" si="5"/>
        <v>0</v>
      </c>
      <c r="N30" s="60">
        <f t="shared" si="6"/>
        <v>0</v>
      </c>
      <c r="O30" s="12">
        <f>'Analiza 2010'!I30</f>
        <v>4830</v>
      </c>
      <c r="P30" s="13">
        <v>4830</v>
      </c>
      <c r="Q30" s="13"/>
      <c r="R30" s="13">
        <v>4830</v>
      </c>
      <c r="S30" s="13">
        <f t="shared" si="7"/>
        <v>0</v>
      </c>
      <c r="T30" s="60">
        <f t="shared" si="8"/>
        <v>0</v>
      </c>
      <c r="U30" s="18"/>
      <c r="V30" s="17"/>
      <c r="W30" s="17"/>
      <c r="X30" s="17"/>
      <c r="Y30" s="17"/>
      <c r="Z30" s="61"/>
      <c r="AA30" s="18"/>
      <c r="AB30" s="17"/>
      <c r="AC30" s="17"/>
      <c r="AD30" s="17"/>
      <c r="AE30" s="13">
        <f t="shared" si="16"/>
        <v>0</v>
      </c>
      <c r="AF30" s="60">
        <f t="shared" si="17"/>
        <v>0</v>
      </c>
      <c r="AG30" s="18"/>
      <c r="AH30" s="17"/>
      <c r="AI30" s="17"/>
      <c r="AJ30" s="17"/>
      <c r="AK30" s="13">
        <f t="shared" si="13"/>
        <v>0</v>
      </c>
      <c r="AL30" s="60">
        <f t="shared" si="14"/>
        <v>0</v>
      </c>
      <c r="AM30" s="18"/>
      <c r="AN30" s="17"/>
      <c r="AO30" s="17"/>
      <c r="AP30" s="17"/>
      <c r="AQ30" s="17"/>
      <c r="AR30" s="61"/>
      <c r="AS30" s="18"/>
      <c r="AT30" s="17"/>
      <c r="AU30" s="17"/>
      <c r="AV30" s="17"/>
      <c r="AW30" s="13">
        <f t="shared" si="18"/>
        <v>0</v>
      </c>
      <c r="AX30" s="60">
        <f t="shared" si="19"/>
        <v>0</v>
      </c>
      <c r="AY30" s="18"/>
      <c r="AZ30" s="17"/>
      <c r="BA30" s="17"/>
      <c r="BB30" s="17"/>
      <c r="BC30" s="13">
        <f t="shared" si="15"/>
        <v>0</v>
      </c>
      <c r="BD30" s="60">
        <f t="shared" si="9"/>
        <v>0</v>
      </c>
      <c r="BE30" s="12">
        <f t="shared" si="20"/>
        <v>4830</v>
      </c>
      <c r="BF30" s="13">
        <f t="shared" si="21"/>
        <v>4830</v>
      </c>
      <c r="BG30" s="13">
        <f t="shared" si="10"/>
        <v>0</v>
      </c>
      <c r="BH30" s="110">
        <f t="shared" si="2"/>
        <v>4830</v>
      </c>
      <c r="BI30" s="110">
        <f t="shared" si="11"/>
        <v>0</v>
      </c>
      <c r="BJ30" s="67">
        <f t="shared" si="12"/>
        <v>0</v>
      </c>
    </row>
    <row r="31" spans="1:62" ht="15.75" thickBot="1">
      <c r="A31" s="247">
        <v>26</v>
      </c>
      <c r="B31" s="247" t="s">
        <v>18</v>
      </c>
      <c r="C31" s="18"/>
      <c r="D31" s="17"/>
      <c r="E31" s="17"/>
      <c r="F31" s="13"/>
      <c r="G31" s="13">
        <f t="shared" si="3"/>
        <v>0</v>
      </c>
      <c r="H31" s="60">
        <f t="shared" si="4"/>
        <v>0</v>
      </c>
      <c r="I31" s="18"/>
      <c r="J31" s="17"/>
      <c r="K31" s="17"/>
      <c r="L31" s="13"/>
      <c r="M31" s="13">
        <f t="shared" si="5"/>
        <v>0</v>
      </c>
      <c r="N31" s="60">
        <f t="shared" si="6"/>
        <v>0</v>
      </c>
      <c r="O31" s="12">
        <f>'Analiza 2010'!I31</f>
        <v>0</v>
      </c>
      <c r="P31" s="17"/>
      <c r="Q31" s="17"/>
      <c r="R31" s="13"/>
      <c r="S31" s="13">
        <f t="shared" si="7"/>
        <v>0</v>
      </c>
      <c r="T31" s="60">
        <f t="shared" si="8"/>
        <v>0</v>
      </c>
      <c r="U31" s="18">
        <v>3500</v>
      </c>
      <c r="V31" s="17">
        <v>3500</v>
      </c>
      <c r="W31" s="17"/>
      <c r="X31" s="17">
        <v>4500</v>
      </c>
      <c r="Y31" s="17">
        <f>X31-U31</f>
        <v>1000</v>
      </c>
      <c r="Z31" s="61">
        <f>X31-V31</f>
        <v>1000</v>
      </c>
      <c r="AA31" s="18"/>
      <c r="AB31" s="17"/>
      <c r="AC31" s="17"/>
      <c r="AD31" s="17"/>
      <c r="AE31" s="13">
        <f t="shared" si="16"/>
        <v>0</v>
      </c>
      <c r="AF31" s="60">
        <f t="shared" si="17"/>
        <v>0</v>
      </c>
      <c r="AG31" s="18"/>
      <c r="AH31" s="17"/>
      <c r="AI31" s="17"/>
      <c r="AJ31" s="17"/>
      <c r="AK31" s="13">
        <f t="shared" si="13"/>
        <v>0</v>
      </c>
      <c r="AL31" s="60">
        <f t="shared" si="14"/>
        <v>0</v>
      </c>
      <c r="AM31" s="18"/>
      <c r="AN31" s="17"/>
      <c r="AO31" s="17"/>
      <c r="AP31" s="17"/>
      <c r="AQ31" s="17"/>
      <c r="AR31" s="61"/>
      <c r="AS31" s="18"/>
      <c r="AT31" s="17"/>
      <c r="AU31" s="17"/>
      <c r="AV31" s="17"/>
      <c r="AW31" s="13">
        <f t="shared" si="18"/>
        <v>0</v>
      </c>
      <c r="AX31" s="60">
        <f t="shared" si="19"/>
        <v>0</v>
      </c>
      <c r="AY31" s="18"/>
      <c r="AZ31" s="17"/>
      <c r="BA31" s="17"/>
      <c r="BB31" s="17"/>
      <c r="BC31" s="13">
        <f t="shared" si="15"/>
        <v>0</v>
      </c>
      <c r="BD31" s="60">
        <f t="shared" si="9"/>
        <v>0</v>
      </c>
      <c r="BE31" s="12">
        <f t="shared" si="20"/>
        <v>3500</v>
      </c>
      <c r="BF31" s="13">
        <f t="shared" si="21"/>
        <v>3500</v>
      </c>
      <c r="BG31" s="13">
        <f t="shared" si="10"/>
        <v>0</v>
      </c>
      <c r="BH31" s="110">
        <f t="shared" si="2"/>
        <v>4500</v>
      </c>
      <c r="BI31" s="110">
        <f t="shared" si="11"/>
        <v>1000</v>
      </c>
      <c r="BJ31" s="67">
        <f t="shared" si="12"/>
        <v>1000</v>
      </c>
    </row>
    <row r="32" spans="1:62" ht="15">
      <c r="A32" s="246">
        <v>27</v>
      </c>
      <c r="B32" s="247" t="s">
        <v>19</v>
      </c>
      <c r="C32" s="18">
        <v>481</v>
      </c>
      <c r="D32" s="17">
        <v>475</v>
      </c>
      <c r="E32" s="17"/>
      <c r="F32" s="13">
        <v>496</v>
      </c>
      <c r="G32" s="13">
        <f t="shared" si="3"/>
        <v>15</v>
      </c>
      <c r="H32" s="60">
        <f t="shared" si="4"/>
        <v>21</v>
      </c>
      <c r="I32" s="18">
        <v>77</v>
      </c>
      <c r="J32" s="17">
        <f>69+8</f>
        <v>77</v>
      </c>
      <c r="K32" s="17"/>
      <c r="L32" s="13">
        <v>79</v>
      </c>
      <c r="M32" s="13">
        <f t="shared" si="5"/>
        <v>2</v>
      </c>
      <c r="N32" s="60">
        <f t="shared" si="6"/>
        <v>2</v>
      </c>
      <c r="O32" s="12">
        <f>'Analiza 2010'!I32</f>
        <v>48000</v>
      </c>
      <c r="P32" s="17">
        <f>44695-3453</f>
        <v>41242</v>
      </c>
      <c r="Q32" s="17">
        <v>2697</v>
      </c>
      <c r="R32" s="13">
        <f>59284</f>
        <v>59284</v>
      </c>
      <c r="S32" s="13">
        <f t="shared" si="7"/>
        <v>11284</v>
      </c>
      <c r="T32" s="60">
        <f t="shared" si="8"/>
        <v>18042</v>
      </c>
      <c r="U32" s="18"/>
      <c r="V32" s="17"/>
      <c r="W32" s="17"/>
      <c r="X32" s="17"/>
      <c r="Y32" s="17">
        <f aca="true" t="shared" si="22" ref="Y32:Y42">X32-U32</f>
        <v>0</v>
      </c>
      <c r="Z32" s="61"/>
      <c r="AA32" s="18"/>
      <c r="AB32" s="17"/>
      <c r="AC32" s="17"/>
      <c r="AD32" s="17"/>
      <c r="AE32" s="13">
        <f t="shared" si="16"/>
        <v>0</v>
      </c>
      <c r="AF32" s="60">
        <f t="shared" si="17"/>
        <v>0</v>
      </c>
      <c r="AG32" s="18"/>
      <c r="AH32" s="17"/>
      <c r="AI32" s="17"/>
      <c r="AJ32" s="17"/>
      <c r="AK32" s="13">
        <f t="shared" si="13"/>
        <v>0</v>
      </c>
      <c r="AL32" s="60">
        <f t="shared" si="14"/>
        <v>0</v>
      </c>
      <c r="AM32" s="18"/>
      <c r="AN32" s="17"/>
      <c r="AO32" s="17"/>
      <c r="AP32" s="17"/>
      <c r="AQ32" s="17"/>
      <c r="AR32" s="61"/>
      <c r="AS32" s="18"/>
      <c r="AT32" s="17"/>
      <c r="AU32" s="17"/>
      <c r="AV32" s="17"/>
      <c r="AW32" s="13">
        <f t="shared" si="18"/>
        <v>0</v>
      </c>
      <c r="AX32" s="60">
        <f t="shared" si="19"/>
        <v>0</v>
      </c>
      <c r="AY32" s="18"/>
      <c r="AZ32" s="17"/>
      <c r="BA32" s="17"/>
      <c r="BB32" s="17"/>
      <c r="BC32" s="13">
        <f t="shared" si="15"/>
        <v>0</v>
      </c>
      <c r="BD32" s="60">
        <f t="shared" si="9"/>
        <v>0</v>
      </c>
      <c r="BE32" s="12">
        <f t="shared" si="20"/>
        <v>48558</v>
      </c>
      <c r="BF32" s="13">
        <f t="shared" si="21"/>
        <v>41794</v>
      </c>
      <c r="BG32" s="13">
        <f t="shared" si="10"/>
        <v>2697</v>
      </c>
      <c r="BH32" s="110">
        <f t="shared" si="2"/>
        <v>59859</v>
      </c>
      <c r="BI32" s="110">
        <f t="shared" si="11"/>
        <v>11301</v>
      </c>
      <c r="BJ32" s="67">
        <f t="shared" si="12"/>
        <v>18065</v>
      </c>
    </row>
    <row r="33" spans="1:62" ht="15.75" thickBot="1">
      <c r="A33" s="247">
        <v>28</v>
      </c>
      <c r="B33" s="247" t="s">
        <v>20</v>
      </c>
      <c r="C33" s="18"/>
      <c r="D33" s="17"/>
      <c r="E33" s="17"/>
      <c r="F33" s="13"/>
      <c r="G33" s="13">
        <f t="shared" si="3"/>
        <v>0</v>
      </c>
      <c r="H33" s="60">
        <f t="shared" si="4"/>
        <v>0</v>
      </c>
      <c r="I33" s="18"/>
      <c r="J33" s="17"/>
      <c r="K33" s="17"/>
      <c r="L33" s="13"/>
      <c r="M33" s="13">
        <f t="shared" si="5"/>
        <v>0</v>
      </c>
      <c r="N33" s="60">
        <f t="shared" si="6"/>
        <v>0</v>
      </c>
      <c r="O33" s="12">
        <f>'Analiza 2010'!I33</f>
        <v>4439</v>
      </c>
      <c r="P33" s="17">
        <f>4372-232</f>
        <v>4140</v>
      </c>
      <c r="Q33" s="17"/>
      <c r="R33" s="13">
        <v>4223</v>
      </c>
      <c r="S33" s="13">
        <f t="shared" si="7"/>
        <v>-216</v>
      </c>
      <c r="T33" s="60">
        <f t="shared" si="8"/>
        <v>83</v>
      </c>
      <c r="U33" s="18"/>
      <c r="V33" s="17"/>
      <c r="W33" s="17"/>
      <c r="X33" s="17"/>
      <c r="Y33" s="17">
        <f t="shared" si="22"/>
        <v>0</v>
      </c>
      <c r="Z33" s="61"/>
      <c r="AA33" s="18"/>
      <c r="AB33" s="17"/>
      <c r="AC33" s="17"/>
      <c r="AD33" s="17"/>
      <c r="AE33" s="13">
        <f t="shared" si="16"/>
        <v>0</v>
      </c>
      <c r="AF33" s="60">
        <f t="shared" si="17"/>
        <v>0</v>
      </c>
      <c r="AG33" s="18"/>
      <c r="AH33" s="17"/>
      <c r="AI33" s="17"/>
      <c r="AJ33" s="17"/>
      <c r="AK33" s="13">
        <f t="shared" si="13"/>
        <v>0</v>
      </c>
      <c r="AL33" s="60">
        <f t="shared" si="14"/>
        <v>0</v>
      </c>
      <c r="AM33" s="18"/>
      <c r="AN33" s="17"/>
      <c r="AO33" s="17"/>
      <c r="AP33" s="17"/>
      <c r="AQ33" s="17"/>
      <c r="AR33" s="61"/>
      <c r="AS33" s="18"/>
      <c r="AT33" s="17"/>
      <c r="AU33" s="17"/>
      <c r="AV33" s="17"/>
      <c r="AW33" s="13">
        <f t="shared" si="18"/>
        <v>0</v>
      </c>
      <c r="AX33" s="60">
        <f t="shared" si="19"/>
        <v>0</v>
      </c>
      <c r="AY33" s="18"/>
      <c r="AZ33" s="17"/>
      <c r="BA33" s="17"/>
      <c r="BB33" s="17"/>
      <c r="BC33" s="13">
        <f t="shared" si="15"/>
        <v>0</v>
      </c>
      <c r="BD33" s="60">
        <f t="shared" si="9"/>
        <v>0</v>
      </c>
      <c r="BE33" s="12">
        <f t="shared" si="20"/>
        <v>4439</v>
      </c>
      <c r="BF33" s="13">
        <f t="shared" si="21"/>
        <v>4140</v>
      </c>
      <c r="BG33" s="13">
        <f t="shared" si="10"/>
        <v>0</v>
      </c>
      <c r="BH33" s="110">
        <f t="shared" si="2"/>
        <v>4223</v>
      </c>
      <c r="BI33" s="110">
        <f t="shared" si="11"/>
        <v>-216</v>
      </c>
      <c r="BJ33" s="67">
        <f t="shared" si="12"/>
        <v>83</v>
      </c>
    </row>
    <row r="34" spans="1:62" ht="15">
      <c r="A34" s="246">
        <v>29</v>
      </c>
      <c r="B34" s="247" t="s">
        <v>21</v>
      </c>
      <c r="C34" s="18"/>
      <c r="D34" s="17"/>
      <c r="E34" s="17"/>
      <c r="F34" s="13"/>
      <c r="G34" s="13">
        <f t="shared" si="3"/>
        <v>0</v>
      </c>
      <c r="H34" s="60">
        <f t="shared" si="4"/>
        <v>0</v>
      </c>
      <c r="I34" s="18"/>
      <c r="J34" s="17"/>
      <c r="K34" s="17"/>
      <c r="L34" s="13"/>
      <c r="M34" s="13">
        <f t="shared" si="5"/>
        <v>0</v>
      </c>
      <c r="N34" s="60">
        <f t="shared" si="6"/>
        <v>0</v>
      </c>
      <c r="O34" s="12">
        <f>'Analiza 2010'!I34</f>
        <v>0</v>
      </c>
      <c r="P34" s="17"/>
      <c r="Q34" s="17"/>
      <c r="R34" s="13"/>
      <c r="S34" s="13">
        <f t="shared" si="7"/>
        <v>0</v>
      </c>
      <c r="T34" s="60">
        <f t="shared" si="8"/>
        <v>0</v>
      </c>
      <c r="U34" s="18"/>
      <c r="V34" s="17"/>
      <c r="W34" s="17"/>
      <c r="X34" s="17"/>
      <c r="Y34" s="17">
        <f t="shared" si="22"/>
        <v>0</v>
      </c>
      <c r="Z34" s="61"/>
      <c r="AA34" s="18"/>
      <c r="AB34" s="17"/>
      <c r="AC34" s="17"/>
      <c r="AD34" s="17"/>
      <c r="AE34" s="13">
        <f t="shared" si="16"/>
        <v>0</v>
      </c>
      <c r="AF34" s="60">
        <f t="shared" si="17"/>
        <v>0</v>
      </c>
      <c r="AG34" s="18"/>
      <c r="AH34" s="17"/>
      <c r="AI34" s="17"/>
      <c r="AJ34" s="17"/>
      <c r="AK34" s="13">
        <f t="shared" si="13"/>
        <v>0</v>
      </c>
      <c r="AL34" s="60">
        <f t="shared" si="14"/>
        <v>0</v>
      </c>
      <c r="AM34" s="18">
        <v>1421</v>
      </c>
      <c r="AN34" s="20"/>
      <c r="AO34" s="20"/>
      <c r="AP34" s="17">
        <v>3000</v>
      </c>
      <c r="AQ34" s="17">
        <f aca="true" t="shared" si="23" ref="AQ34:AQ40">AP34-AM34</f>
        <v>1579</v>
      </c>
      <c r="AR34" s="61">
        <f aca="true" t="shared" si="24" ref="AR34:AR40">AP34-AN34</f>
        <v>3000</v>
      </c>
      <c r="AS34" s="18"/>
      <c r="AT34" s="17"/>
      <c r="AU34" s="17"/>
      <c r="AV34" s="17"/>
      <c r="AW34" s="13">
        <f t="shared" si="18"/>
        <v>0</v>
      </c>
      <c r="AX34" s="60">
        <f t="shared" si="19"/>
        <v>0</v>
      </c>
      <c r="AY34" s="18"/>
      <c r="AZ34" s="17"/>
      <c r="BA34" s="17"/>
      <c r="BB34" s="17"/>
      <c r="BC34" s="13">
        <f t="shared" si="15"/>
        <v>0</v>
      </c>
      <c r="BD34" s="60">
        <f t="shared" si="9"/>
        <v>0</v>
      </c>
      <c r="BE34" s="12">
        <f t="shared" si="20"/>
        <v>1421</v>
      </c>
      <c r="BF34" s="13">
        <f t="shared" si="21"/>
        <v>0</v>
      </c>
      <c r="BG34" s="13">
        <f t="shared" si="10"/>
        <v>0</v>
      </c>
      <c r="BH34" s="110">
        <f t="shared" si="2"/>
        <v>3000</v>
      </c>
      <c r="BI34" s="110">
        <f t="shared" si="11"/>
        <v>1579</v>
      </c>
      <c r="BJ34" s="67">
        <f t="shared" si="12"/>
        <v>3000</v>
      </c>
    </row>
    <row r="35" spans="1:62" ht="15.75" thickBot="1">
      <c r="A35" s="247">
        <v>30</v>
      </c>
      <c r="B35" s="247" t="s">
        <v>22</v>
      </c>
      <c r="C35" s="18"/>
      <c r="D35" s="17"/>
      <c r="E35" s="17"/>
      <c r="F35" s="13"/>
      <c r="G35" s="13">
        <f t="shared" si="3"/>
        <v>0</v>
      </c>
      <c r="H35" s="60">
        <f t="shared" si="4"/>
        <v>0</v>
      </c>
      <c r="I35" s="18"/>
      <c r="J35" s="17"/>
      <c r="K35" s="17"/>
      <c r="L35" s="13"/>
      <c r="M35" s="13">
        <f t="shared" si="5"/>
        <v>0</v>
      </c>
      <c r="N35" s="60">
        <f t="shared" si="6"/>
        <v>0</v>
      </c>
      <c r="O35" s="12">
        <f>'Analiza 2010'!I35</f>
        <v>0</v>
      </c>
      <c r="P35" s="17"/>
      <c r="Q35" s="17"/>
      <c r="R35" s="13"/>
      <c r="S35" s="13">
        <f t="shared" si="7"/>
        <v>0</v>
      </c>
      <c r="T35" s="60">
        <f t="shared" si="8"/>
        <v>0</v>
      </c>
      <c r="U35" s="18"/>
      <c r="V35" s="17"/>
      <c r="W35" s="17"/>
      <c r="X35" s="17"/>
      <c r="Y35" s="17">
        <f t="shared" si="22"/>
        <v>0</v>
      </c>
      <c r="Z35" s="61"/>
      <c r="AA35" s="18"/>
      <c r="AB35" s="17"/>
      <c r="AC35" s="17"/>
      <c r="AD35" s="17"/>
      <c r="AE35" s="13">
        <f t="shared" si="16"/>
        <v>0</v>
      </c>
      <c r="AF35" s="60">
        <f t="shared" si="17"/>
        <v>0</v>
      </c>
      <c r="AG35" s="18"/>
      <c r="AH35" s="17"/>
      <c r="AI35" s="17"/>
      <c r="AJ35" s="17"/>
      <c r="AK35" s="13">
        <f t="shared" si="13"/>
        <v>0</v>
      </c>
      <c r="AL35" s="60">
        <f t="shared" si="14"/>
        <v>0</v>
      </c>
      <c r="AM35" s="18">
        <v>1000</v>
      </c>
      <c r="AN35" s="17"/>
      <c r="AO35" s="17"/>
      <c r="AP35" s="17"/>
      <c r="AQ35" s="17">
        <f t="shared" si="23"/>
        <v>-1000</v>
      </c>
      <c r="AR35" s="61">
        <f t="shared" si="24"/>
        <v>0</v>
      </c>
      <c r="AS35" s="18"/>
      <c r="AT35" s="17"/>
      <c r="AU35" s="17"/>
      <c r="AV35" s="17"/>
      <c r="AW35" s="13">
        <f t="shared" si="18"/>
        <v>0</v>
      </c>
      <c r="AX35" s="60">
        <f t="shared" si="19"/>
        <v>0</v>
      </c>
      <c r="AY35" s="18"/>
      <c r="AZ35" s="17"/>
      <c r="BA35" s="17"/>
      <c r="BB35" s="17"/>
      <c r="BC35" s="13">
        <f t="shared" si="15"/>
        <v>0</v>
      </c>
      <c r="BD35" s="60">
        <f t="shared" si="9"/>
        <v>0</v>
      </c>
      <c r="BE35" s="12">
        <f t="shared" si="20"/>
        <v>1000</v>
      </c>
      <c r="BF35" s="13">
        <f t="shared" si="21"/>
        <v>0</v>
      </c>
      <c r="BG35" s="13">
        <f t="shared" si="10"/>
        <v>0</v>
      </c>
      <c r="BH35" s="110">
        <f t="shared" si="2"/>
        <v>0</v>
      </c>
      <c r="BI35" s="110">
        <f t="shared" si="11"/>
        <v>-1000</v>
      </c>
      <c r="BJ35" s="67">
        <f t="shared" si="12"/>
        <v>0</v>
      </c>
    </row>
    <row r="36" spans="1:62" ht="15">
      <c r="A36" s="246">
        <v>31</v>
      </c>
      <c r="B36" s="247" t="s">
        <v>23</v>
      </c>
      <c r="C36" s="18"/>
      <c r="D36" s="17"/>
      <c r="E36" s="17"/>
      <c r="F36" s="13"/>
      <c r="G36" s="13">
        <f t="shared" si="3"/>
        <v>0</v>
      </c>
      <c r="H36" s="60">
        <f t="shared" si="4"/>
        <v>0</v>
      </c>
      <c r="I36" s="18"/>
      <c r="J36" s="17"/>
      <c r="K36" s="17"/>
      <c r="L36" s="13"/>
      <c r="M36" s="13">
        <f t="shared" si="5"/>
        <v>0</v>
      </c>
      <c r="N36" s="60">
        <f t="shared" si="6"/>
        <v>0</v>
      </c>
      <c r="O36" s="12">
        <f>'Analiza 2010'!I36</f>
        <v>0</v>
      </c>
      <c r="P36" s="17"/>
      <c r="Q36" s="17"/>
      <c r="R36" s="13"/>
      <c r="S36" s="13">
        <f t="shared" si="7"/>
        <v>0</v>
      </c>
      <c r="T36" s="60">
        <f t="shared" si="8"/>
        <v>0</v>
      </c>
      <c r="U36" s="18"/>
      <c r="V36" s="17"/>
      <c r="W36" s="17"/>
      <c r="X36" s="17"/>
      <c r="Y36" s="17">
        <f t="shared" si="22"/>
        <v>0</v>
      </c>
      <c r="Z36" s="61"/>
      <c r="AA36" s="18"/>
      <c r="AB36" s="17"/>
      <c r="AC36" s="17"/>
      <c r="AD36" s="17"/>
      <c r="AE36" s="13">
        <f t="shared" si="16"/>
        <v>0</v>
      </c>
      <c r="AF36" s="60">
        <f t="shared" si="17"/>
        <v>0</v>
      </c>
      <c r="AG36" s="18">
        <v>500</v>
      </c>
      <c r="AH36" s="17"/>
      <c r="AI36" s="17">
        <v>120</v>
      </c>
      <c r="AJ36" s="17">
        <v>500</v>
      </c>
      <c r="AK36" s="13">
        <f t="shared" si="13"/>
        <v>0</v>
      </c>
      <c r="AL36" s="60">
        <f t="shared" si="14"/>
        <v>500</v>
      </c>
      <c r="AM36" s="18"/>
      <c r="AN36" s="17"/>
      <c r="AO36" s="17"/>
      <c r="AP36" s="17"/>
      <c r="AQ36" s="17">
        <f t="shared" si="23"/>
        <v>0</v>
      </c>
      <c r="AR36" s="61">
        <f t="shared" si="24"/>
        <v>0</v>
      </c>
      <c r="AS36" s="18"/>
      <c r="AT36" s="17"/>
      <c r="AU36" s="17"/>
      <c r="AV36" s="17"/>
      <c r="AW36" s="13">
        <f t="shared" si="18"/>
        <v>0</v>
      </c>
      <c r="AX36" s="60">
        <f t="shared" si="19"/>
        <v>0</v>
      </c>
      <c r="AY36" s="18"/>
      <c r="AZ36" s="17"/>
      <c r="BA36" s="17"/>
      <c r="BB36" s="17"/>
      <c r="BC36" s="13">
        <f t="shared" si="15"/>
        <v>0</v>
      </c>
      <c r="BD36" s="60">
        <f t="shared" si="9"/>
        <v>0</v>
      </c>
      <c r="BE36" s="12">
        <f t="shared" si="20"/>
        <v>500</v>
      </c>
      <c r="BF36" s="13">
        <f t="shared" si="21"/>
        <v>0</v>
      </c>
      <c r="BG36" s="13">
        <f t="shared" si="10"/>
        <v>120</v>
      </c>
      <c r="BH36" s="110">
        <f t="shared" si="2"/>
        <v>500</v>
      </c>
      <c r="BI36" s="110">
        <f t="shared" si="11"/>
        <v>0</v>
      </c>
      <c r="BJ36" s="67">
        <f t="shared" si="12"/>
        <v>500</v>
      </c>
    </row>
    <row r="37" spans="1:62" ht="15.75" thickBot="1">
      <c r="A37" s="247">
        <v>32</v>
      </c>
      <c r="B37" s="247" t="s">
        <v>24</v>
      </c>
      <c r="C37" s="18"/>
      <c r="D37" s="17"/>
      <c r="E37" s="17"/>
      <c r="F37" s="13"/>
      <c r="G37" s="13">
        <f t="shared" si="3"/>
        <v>0</v>
      </c>
      <c r="H37" s="60">
        <f t="shared" si="4"/>
        <v>0</v>
      </c>
      <c r="I37" s="18"/>
      <c r="J37" s="17"/>
      <c r="K37" s="17"/>
      <c r="L37" s="13"/>
      <c r="M37" s="13">
        <f t="shared" si="5"/>
        <v>0</v>
      </c>
      <c r="N37" s="60">
        <f t="shared" si="6"/>
        <v>0</v>
      </c>
      <c r="O37" s="12">
        <f>'Analiza 2010'!I37</f>
        <v>0</v>
      </c>
      <c r="P37" s="17"/>
      <c r="Q37" s="17"/>
      <c r="R37" s="13"/>
      <c r="S37" s="13">
        <f t="shared" si="7"/>
        <v>0</v>
      </c>
      <c r="T37" s="60">
        <f t="shared" si="8"/>
        <v>0</v>
      </c>
      <c r="U37" s="18"/>
      <c r="V37" s="17"/>
      <c r="W37" s="17"/>
      <c r="X37" s="17"/>
      <c r="Y37" s="17">
        <f t="shared" si="22"/>
        <v>0</v>
      </c>
      <c r="Z37" s="61"/>
      <c r="AA37" s="18">
        <v>6000</v>
      </c>
      <c r="AB37" s="17">
        <v>6000</v>
      </c>
      <c r="AC37" s="17"/>
      <c r="AD37" s="13">
        <v>6000</v>
      </c>
      <c r="AE37" s="13">
        <f t="shared" si="16"/>
        <v>0</v>
      </c>
      <c r="AF37" s="60">
        <f t="shared" si="17"/>
        <v>0</v>
      </c>
      <c r="AG37" s="18"/>
      <c r="AH37" s="17"/>
      <c r="AI37" s="17"/>
      <c r="AJ37" s="17"/>
      <c r="AK37" s="13">
        <f t="shared" si="13"/>
        <v>0</v>
      </c>
      <c r="AL37" s="60">
        <f t="shared" si="14"/>
        <v>0</v>
      </c>
      <c r="AM37" s="18"/>
      <c r="AN37" s="17"/>
      <c r="AO37" s="17"/>
      <c r="AP37" s="17"/>
      <c r="AQ37" s="17">
        <f t="shared" si="23"/>
        <v>0</v>
      </c>
      <c r="AR37" s="61">
        <f t="shared" si="24"/>
        <v>0</v>
      </c>
      <c r="AS37" s="18"/>
      <c r="AT37" s="17"/>
      <c r="AU37" s="17"/>
      <c r="AV37" s="17"/>
      <c r="AW37" s="13">
        <f t="shared" si="18"/>
        <v>0</v>
      </c>
      <c r="AX37" s="60">
        <f t="shared" si="19"/>
        <v>0</v>
      </c>
      <c r="AY37" s="18"/>
      <c r="AZ37" s="17"/>
      <c r="BA37" s="17"/>
      <c r="BB37" s="17"/>
      <c r="BC37" s="13">
        <f t="shared" si="15"/>
        <v>0</v>
      </c>
      <c r="BD37" s="60">
        <f t="shared" si="9"/>
        <v>0</v>
      </c>
      <c r="BE37" s="12">
        <f t="shared" si="20"/>
        <v>6000</v>
      </c>
      <c r="BF37" s="13">
        <f t="shared" si="21"/>
        <v>6000</v>
      </c>
      <c r="BG37" s="13">
        <f t="shared" si="10"/>
        <v>0</v>
      </c>
      <c r="BH37" s="110">
        <f t="shared" si="2"/>
        <v>6000</v>
      </c>
      <c r="BI37" s="110">
        <f t="shared" si="11"/>
        <v>0</v>
      </c>
      <c r="BJ37" s="67">
        <f t="shared" si="12"/>
        <v>0</v>
      </c>
    </row>
    <row r="38" spans="1:62" ht="15">
      <c r="A38" s="246">
        <v>33</v>
      </c>
      <c r="B38" s="247" t="s">
        <v>37</v>
      </c>
      <c r="C38" s="18"/>
      <c r="D38" s="17"/>
      <c r="E38" s="17"/>
      <c r="F38" s="13"/>
      <c r="G38" s="13">
        <f t="shared" si="3"/>
        <v>0</v>
      </c>
      <c r="H38" s="60">
        <f t="shared" si="4"/>
        <v>0</v>
      </c>
      <c r="I38" s="18"/>
      <c r="J38" s="17"/>
      <c r="K38" s="17"/>
      <c r="L38" s="13"/>
      <c r="M38" s="13">
        <f t="shared" si="5"/>
        <v>0</v>
      </c>
      <c r="N38" s="60">
        <f t="shared" si="6"/>
        <v>0</v>
      </c>
      <c r="O38" s="12">
        <f>'Analiza 2010'!I38</f>
        <v>370</v>
      </c>
      <c r="P38" s="13">
        <v>370</v>
      </c>
      <c r="Q38" s="13">
        <v>65</v>
      </c>
      <c r="R38" s="13">
        <f>300+50</f>
        <v>350</v>
      </c>
      <c r="S38" s="13">
        <f t="shared" si="7"/>
        <v>-20</v>
      </c>
      <c r="T38" s="60">
        <f t="shared" si="8"/>
        <v>-20</v>
      </c>
      <c r="U38" s="18"/>
      <c r="V38" s="17"/>
      <c r="W38" s="17"/>
      <c r="X38" s="17"/>
      <c r="Y38" s="17">
        <f t="shared" si="22"/>
        <v>0</v>
      </c>
      <c r="Z38" s="61"/>
      <c r="AA38" s="18"/>
      <c r="AB38" s="17"/>
      <c r="AC38" s="17"/>
      <c r="AD38" s="17"/>
      <c r="AE38" s="13">
        <f t="shared" si="16"/>
        <v>0</v>
      </c>
      <c r="AF38" s="60">
        <f t="shared" si="17"/>
        <v>0</v>
      </c>
      <c r="AG38" s="18"/>
      <c r="AH38" s="17"/>
      <c r="AI38" s="17"/>
      <c r="AJ38" s="17"/>
      <c r="AK38" s="13">
        <f t="shared" si="13"/>
        <v>0</v>
      </c>
      <c r="AL38" s="60">
        <f t="shared" si="14"/>
        <v>0</v>
      </c>
      <c r="AM38" s="18"/>
      <c r="AN38" s="17"/>
      <c r="AO38" s="17"/>
      <c r="AP38" s="17"/>
      <c r="AQ38" s="17">
        <f t="shared" si="23"/>
        <v>0</v>
      </c>
      <c r="AR38" s="61">
        <f t="shared" si="24"/>
        <v>0</v>
      </c>
      <c r="AS38" s="18"/>
      <c r="AT38" s="17"/>
      <c r="AU38" s="17"/>
      <c r="AV38" s="17"/>
      <c r="AW38" s="13">
        <f t="shared" si="18"/>
        <v>0</v>
      </c>
      <c r="AX38" s="60">
        <f t="shared" si="19"/>
        <v>0</v>
      </c>
      <c r="AY38" s="18"/>
      <c r="AZ38" s="17"/>
      <c r="BA38" s="17"/>
      <c r="BB38" s="17">
        <v>50</v>
      </c>
      <c r="BC38" s="13">
        <f t="shared" si="15"/>
        <v>50</v>
      </c>
      <c r="BD38" s="60">
        <f t="shared" si="9"/>
        <v>50</v>
      </c>
      <c r="BE38" s="12">
        <f t="shared" si="20"/>
        <v>370</v>
      </c>
      <c r="BF38" s="13">
        <f t="shared" si="21"/>
        <v>370</v>
      </c>
      <c r="BG38" s="13">
        <f t="shared" si="10"/>
        <v>65</v>
      </c>
      <c r="BH38" s="110">
        <f t="shared" si="2"/>
        <v>400</v>
      </c>
      <c r="BI38" s="110">
        <f t="shared" si="11"/>
        <v>30</v>
      </c>
      <c r="BJ38" s="67">
        <f t="shared" si="12"/>
        <v>30</v>
      </c>
    </row>
    <row r="39" spans="1:62" ht="15.75" thickBot="1">
      <c r="A39" s="247">
        <v>34</v>
      </c>
      <c r="B39" s="247" t="s">
        <v>130</v>
      </c>
      <c r="C39" s="18"/>
      <c r="D39" s="17"/>
      <c r="E39" s="17"/>
      <c r="F39" s="13"/>
      <c r="G39" s="13"/>
      <c r="H39" s="60"/>
      <c r="I39" s="18"/>
      <c r="J39" s="17"/>
      <c r="K39" s="17"/>
      <c r="L39" s="13"/>
      <c r="M39" s="13"/>
      <c r="N39" s="60"/>
      <c r="O39" s="12"/>
      <c r="P39" s="13"/>
      <c r="Q39" s="13">
        <v>5</v>
      </c>
      <c r="R39" s="13"/>
      <c r="S39" s="13"/>
      <c r="T39" s="60"/>
      <c r="U39" s="18"/>
      <c r="V39" s="17"/>
      <c r="W39" s="17"/>
      <c r="X39" s="17"/>
      <c r="Y39" s="17"/>
      <c r="Z39" s="61"/>
      <c r="AA39" s="18"/>
      <c r="AB39" s="17"/>
      <c r="AC39" s="17"/>
      <c r="AD39" s="17"/>
      <c r="AE39" s="13"/>
      <c r="AF39" s="60"/>
      <c r="AG39" s="18"/>
      <c r="AH39" s="17"/>
      <c r="AI39" s="17"/>
      <c r="AJ39" s="17"/>
      <c r="AK39" s="13"/>
      <c r="AL39" s="60"/>
      <c r="AM39" s="18"/>
      <c r="AN39" s="17"/>
      <c r="AO39" s="17"/>
      <c r="AP39" s="17"/>
      <c r="AQ39" s="17"/>
      <c r="AR39" s="61"/>
      <c r="AS39" s="18"/>
      <c r="AT39" s="17"/>
      <c r="AU39" s="17"/>
      <c r="AV39" s="17"/>
      <c r="AW39" s="13">
        <f t="shared" si="18"/>
        <v>0</v>
      </c>
      <c r="AX39" s="60">
        <f t="shared" si="19"/>
        <v>0</v>
      </c>
      <c r="AY39" s="18"/>
      <c r="AZ39" s="17"/>
      <c r="BA39" s="17"/>
      <c r="BB39" s="17"/>
      <c r="BC39" s="13"/>
      <c r="BD39" s="60"/>
      <c r="BE39" s="12">
        <f t="shared" si="20"/>
        <v>0</v>
      </c>
      <c r="BF39" s="13">
        <f t="shared" si="21"/>
        <v>0</v>
      </c>
      <c r="BG39" s="13">
        <f t="shared" si="10"/>
        <v>5</v>
      </c>
      <c r="BH39" s="110">
        <f t="shared" si="2"/>
        <v>0</v>
      </c>
      <c r="BI39" s="110">
        <f t="shared" si="11"/>
        <v>0</v>
      </c>
      <c r="BJ39" s="67"/>
    </row>
    <row r="40" spans="1:62" ht="15">
      <c r="A40" s="246">
        <v>35</v>
      </c>
      <c r="B40" s="247" t="s">
        <v>38</v>
      </c>
      <c r="C40" s="18"/>
      <c r="D40" s="17"/>
      <c r="E40" s="17"/>
      <c r="F40" s="13"/>
      <c r="G40" s="13">
        <f t="shared" si="3"/>
        <v>0</v>
      </c>
      <c r="H40" s="60">
        <f t="shared" si="4"/>
        <v>0</v>
      </c>
      <c r="I40" s="18"/>
      <c r="J40" s="17"/>
      <c r="K40" s="17"/>
      <c r="L40" s="13"/>
      <c r="M40" s="13">
        <f t="shared" si="5"/>
        <v>0</v>
      </c>
      <c r="N40" s="60">
        <f t="shared" si="6"/>
        <v>0</v>
      </c>
      <c r="O40" s="12">
        <f>'Analiza 2010'!I39</f>
        <v>560</v>
      </c>
      <c r="P40" s="13">
        <v>560</v>
      </c>
      <c r="Q40" s="13">
        <v>200</v>
      </c>
      <c r="R40" s="13">
        <v>500</v>
      </c>
      <c r="S40" s="13">
        <f t="shared" si="7"/>
        <v>-60</v>
      </c>
      <c r="T40" s="60">
        <f t="shared" si="8"/>
        <v>-60</v>
      </c>
      <c r="U40" s="18"/>
      <c r="V40" s="17"/>
      <c r="W40" s="17"/>
      <c r="X40" s="17"/>
      <c r="Y40" s="17">
        <f t="shared" si="22"/>
        <v>0</v>
      </c>
      <c r="Z40" s="61"/>
      <c r="AA40" s="18"/>
      <c r="AB40" s="17"/>
      <c r="AC40" s="17"/>
      <c r="AD40" s="17"/>
      <c r="AE40" s="13">
        <f t="shared" si="16"/>
        <v>0</v>
      </c>
      <c r="AF40" s="60">
        <f t="shared" si="17"/>
        <v>0</v>
      </c>
      <c r="AG40" s="18"/>
      <c r="AH40" s="17"/>
      <c r="AI40" s="17"/>
      <c r="AJ40" s="17"/>
      <c r="AK40" s="13">
        <f t="shared" si="13"/>
        <v>0</v>
      </c>
      <c r="AL40" s="60">
        <f t="shared" si="14"/>
        <v>0</v>
      </c>
      <c r="AM40" s="18"/>
      <c r="AN40" s="17"/>
      <c r="AO40" s="17"/>
      <c r="AP40" s="17"/>
      <c r="AQ40" s="17">
        <f t="shared" si="23"/>
        <v>0</v>
      </c>
      <c r="AR40" s="61">
        <f t="shared" si="24"/>
        <v>0</v>
      </c>
      <c r="AS40" s="18"/>
      <c r="AT40" s="17"/>
      <c r="AU40" s="17"/>
      <c r="AV40" s="17"/>
      <c r="AW40" s="13">
        <f t="shared" si="18"/>
        <v>0</v>
      </c>
      <c r="AX40" s="60">
        <f t="shared" si="19"/>
        <v>0</v>
      </c>
      <c r="AY40" s="18"/>
      <c r="AZ40" s="17"/>
      <c r="BA40" s="17"/>
      <c r="BB40" s="17">
        <v>100</v>
      </c>
      <c r="BC40" s="13">
        <f t="shared" si="15"/>
        <v>100</v>
      </c>
      <c r="BD40" s="60">
        <f t="shared" si="9"/>
        <v>100</v>
      </c>
      <c r="BE40" s="12">
        <f t="shared" si="20"/>
        <v>560</v>
      </c>
      <c r="BF40" s="13">
        <f t="shared" si="21"/>
        <v>560</v>
      </c>
      <c r="BG40" s="13">
        <f t="shared" si="10"/>
        <v>200</v>
      </c>
      <c r="BH40" s="110">
        <f t="shared" si="2"/>
        <v>600</v>
      </c>
      <c r="BI40" s="110">
        <f t="shared" si="11"/>
        <v>40</v>
      </c>
      <c r="BJ40" s="67">
        <f t="shared" si="12"/>
        <v>40</v>
      </c>
    </row>
    <row r="41" spans="1:62" ht="15.75" thickBot="1">
      <c r="A41" s="247">
        <v>36</v>
      </c>
      <c r="B41" s="247" t="s">
        <v>150</v>
      </c>
      <c r="C41" s="18"/>
      <c r="D41" s="17"/>
      <c r="E41" s="17"/>
      <c r="F41" s="13"/>
      <c r="G41" s="13">
        <f t="shared" si="3"/>
        <v>0</v>
      </c>
      <c r="H41" s="60">
        <f t="shared" si="4"/>
        <v>0</v>
      </c>
      <c r="I41" s="18"/>
      <c r="J41" s="17"/>
      <c r="K41" s="17"/>
      <c r="L41" s="13"/>
      <c r="M41" s="13">
        <f t="shared" si="5"/>
        <v>0</v>
      </c>
      <c r="N41" s="60">
        <f t="shared" si="6"/>
        <v>0</v>
      </c>
      <c r="O41" s="12"/>
      <c r="P41" s="13"/>
      <c r="Q41" s="13"/>
      <c r="R41" s="13"/>
      <c r="S41" s="13">
        <f t="shared" si="7"/>
        <v>0</v>
      </c>
      <c r="T41" s="60">
        <f t="shared" si="8"/>
        <v>0</v>
      </c>
      <c r="U41" s="18"/>
      <c r="V41" s="17"/>
      <c r="W41" s="17"/>
      <c r="X41" s="17"/>
      <c r="Y41" s="17">
        <f t="shared" si="22"/>
        <v>0</v>
      </c>
      <c r="Z41" s="61"/>
      <c r="AA41" s="18">
        <v>300</v>
      </c>
      <c r="AB41" s="17">
        <v>300</v>
      </c>
      <c r="AC41" s="17"/>
      <c r="AD41" s="17"/>
      <c r="AE41" s="13"/>
      <c r="AF41" s="60"/>
      <c r="AG41" s="18"/>
      <c r="AH41" s="17"/>
      <c r="AI41" s="17"/>
      <c r="AJ41" s="17"/>
      <c r="AK41" s="13"/>
      <c r="AL41" s="60"/>
      <c r="AM41" s="18"/>
      <c r="AN41" s="17"/>
      <c r="AO41" s="17"/>
      <c r="AP41" s="17"/>
      <c r="AQ41" s="17"/>
      <c r="AR41" s="61"/>
      <c r="AS41" s="18"/>
      <c r="AT41" s="17"/>
      <c r="AU41" s="17"/>
      <c r="AV41" s="17"/>
      <c r="AW41" s="13">
        <f t="shared" si="18"/>
        <v>0</v>
      </c>
      <c r="AX41" s="60">
        <f t="shared" si="19"/>
        <v>0</v>
      </c>
      <c r="AY41" s="18"/>
      <c r="AZ41" s="17"/>
      <c r="BA41" s="17"/>
      <c r="BB41" s="17"/>
      <c r="BC41" s="13"/>
      <c r="BD41" s="60"/>
      <c r="BE41" s="12">
        <f t="shared" si="20"/>
        <v>300</v>
      </c>
      <c r="BF41" s="13">
        <f t="shared" si="21"/>
        <v>300</v>
      </c>
      <c r="BG41" s="13">
        <f t="shared" si="10"/>
        <v>0</v>
      </c>
      <c r="BH41" s="110">
        <f t="shared" si="2"/>
        <v>0</v>
      </c>
      <c r="BI41" s="110">
        <f t="shared" si="11"/>
        <v>-300</v>
      </c>
      <c r="BJ41" s="67">
        <f t="shared" si="12"/>
        <v>-300</v>
      </c>
    </row>
    <row r="42" spans="1:62" ht="15">
      <c r="A42" s="246">
        <v>37</v>
      </c>
      <c r="B42" s="247" t="s">
        <v>120</v>
      </c>
      <c r="C42" s="18"/>
      <c r="D42" s="17"/>
      <c r="E42" s="17"/>
      <c r="F42" s="13"/>
      <c r="G42" s="13">
        <f t="shared" si="3"/>
        <v>0</v>
      </c>
      <c r="H42" s="60"/>
      <c r="I42" s="18"/>
      <c r="J42" s="17"/>
      <c r="K42" s="17"/>
      <c r="L42" s="13"/>
      <c r="M42" s="13">
        <f t="shared" si="5"/>
        <v>0</v>
      </c>
      <c r="N42" s="60">
        <f t="shared" si="6"/>
        <v>0</v>
      </c>
      <c r="O42" s="12"/>
      <c r="P42" s="13"/>
      <c r="Q42" s="13">
        <v>1</v>
      </c>
      <c r="R42" s="13">
        <f>375+50</f>
        <v>425</v>
      </c>
      <c r="S42" s="13">
        <f t="shared" si="7"/>
        <v>425</v>
      </c>
      <c r="T42" s="60">
        <f t="shared" si="8"/>
        <v>425</v>
      </c>
      <c r="U42" s="18"/>
      <c r="V42" s="17"/>
      <c r="W42" s="17"/>
      <c r="X42" s="17"/>
      <c r="Y42" s="17">
        <f t="shared" si="22"/>
        <v>0</v>
      </c>
      <c r="Z42" s="61"/>
      <c r="AA42" s="18"/>
      <c r="AB42" s="17"/>
      <c r="AC42" s="17"/>
      <c r="AD42" s="17"/>
      <c r="AE42" s="13"/>
      <c r="AF42" s="60"/>
      <c r="AG42" s="18"/>
      <c r="AH42" s="17"/>
      <c r="AI42" s="17"/>
      <c r="AJ42" s="17"/>
      <c r="AK42" s="13"/>
      <c r="AL42" s="60"/>
      <c r="AM42" s="18"/>
      <c r="AN42" s="17"/>
      <c r="AO42" s="17"/>
      <c r="AP42" s="17"/>
      <c r="AQ42" s="17"/>
      <c r="AR42" s="61"/>
      <c r="AS42" s="18"/>
      <c r="AT42" s="17"/>
      <c r="AU42" s="17"/>
      <c r="AV42" s="17"/>
      <c r="AW42" s="13">
        <f t="shared" si="18"/>
        <v>0</v>
      </c>
      <c r="AX42" s="60">
        <f t="shared" si="19"/>
        <v>0</v>
      </c>
      <c r="AY42" s="18"/>
      <c r="AZ42" s="17"/>
      <c r="BA42" s="17"/>
      <c r="BB42" s="17"/>
      <c r="BC42" s="13"/>
      <c r="BD42" s="60"/>
      <c r="BE42" s="12"/>
      <c r="BF42" s="13"/>
      <c r="BG42" s="13">
        <f t="shared" si="10"/>
        <v>1</v>
      </c>
      <c r="BH42" s="110">
        <f t="shared" si="2"/>
        <v>425</v>
      </c>
      <c r="BI42" s="110">
        <f t="shared" si="11"/>
        <v>425</v>
      </c>
      <c r="BJ42" s="67">
        <f t="shared" si="12"/>
        <v>425</v>
      </c>
    </row>
    <row r="43" spans="1:62" ht="15.75" thickBot="1">
      <c r="A43" s="252">
        <v>38</v>
      </c>
      <c r="B43" s="252" t="s">
        <v>170</v>
      </c>
      <c r="C43" s="191"/>
      <c r="D43" s="192"/>
      <c r="E43" s="192"/>
      <c r="F43" s="193"/>
      <c r="G43" s="193"/>
      <c r="H43" s="194"/>
      <c r="I43" s="191"/>
      <c r="J43" s="192"/>
      <c r="K43" s="192"/>
      <c r="L43" s="193"/>
      <c r="M43" s="193"/>
      <c r="N43" s="194"/>
      <c r="O43" s="195"/>
      <c r="P43" s="193"/>
      <c r="Q43" s="193">
        <v>187</v>
      </c>
      <c r="R43" s="193"/>
      <c r="S43" s="193"/>
      <c r="T43" s="194"/>
      <c r="U43" s="191"/>
      <c r="V43" s="192"/>
      <c r="W43" s="192"/>
      <c r="X43" s="192"/>
      <c r="Y43" s="192"/>
      <c r="Z43" s="245"/>
      <c r="AA43" s="191"/>
      <c r="AB43" s="192"/>
      <c r="AC43" s="192"/>
      <c r="AD43" s="192"/>
      <c r="AE43" s="193"/>
      <c r="AF43" s="194"/>
      <c r="AG43" s="191"/>
      <c r="AH43" s="192"/>
      <c r="AI43" s="192"/>
      <c r="AJ43" s="192"/>
      <c r="AK43" s="193"/>
      <c r="AL43" s="194"/>
      <c r="AM43" s="191"/>
      <c r="AN43" s="192"/>
      <c r="AO43" s="192"/>
      <c r="AP43" s="192"/>
      <c r="AQ43" s="192"/>
      <c r="AR43" s="245"/>
      <c r="AS43" s="191"/>
      <c r="AT43" s="192"/>
      <c r="AU43" s="192"/>
      <c r="AV43" s="192"/>
      <c r="AW43" s="193"/>
      <c r="AX43" s="194">
        <f t="shared" si="19"/>
        <v>0</v>
      </c>
      <c r="AY43" s="191"/>
      <c r="AZ43" s="192"/>
      <c r="BA43" s="192"/>
      <c r="BB43" s="192"/>
      <c r="BC43" s="193"/>
      <c r="BD43" s="194"/>
      <c r="BE43" s="195"/>
      <c r="BF43" s="193"/>
      <c r="BG43" s="193">
        <f t="shared" si="10"/>
        <v>187</v>
      </c>
      <c r="BH43" s="196"/>
      <c r="BI43" s="196"/>
      <c r="BJ43" s="197"/>
    </row>
    <row r="44" spans="1:62" ht="15.75" thickBot="1">
      <c r="A44" s="253"/>
      <c r="B44" s="253" t="s">
        <v>27</v>
      </c>
      <c r="C44" s="198">
        <f>SUM(C6:C43)</f>
        <v>166201</v>
      </c>
      <c r="D44" s="198">
        <f aca="true" t="shared" si="25" ref="D44:BJ44">SUM(D6:D43)</f>
        <v>159140</v>
      </c>
      <c r="E44" s="198">
        <f t="shared" si="25"/>
        <v>200</v>
      </c>
      <c r="F44" s="198">
        <f t="shared" si="25"/>
        <v>174868</v>
      </c>
      <c r="G44" s="198">
        <f t="shared" si="25"/>
        <v>8667</v>
      </c>
      <c r="H44" s="198">
        <f t="shared" si="25"/>
        <v>15728</v>
      </c>
      <c r="I44" s="198">
        <f t="shared" si="25"/>
        <v>26623</v>
      </c>
      <c r="J44" s="198">
        <f t="shared" si="25"/>
        <v>25635</v>
      </c>
      <c r="K44" s="198">
        <f t="shared" si="25"/>
        <v>27</v>
      </c>
      <c r="L44" s="198">
        <f t="shared" si="25"/>
        <v>27856</v>
      </c>
      <c r="M44" s="198">
        <f t="shared" si="25"/>
        <v>1233</v>
      </c>
      <c r="N44" s="198">
        <f t="shared" si="25"/>
        <v>2221</v>
      </c>
      <c r="O44" s="198">
        <f t="shared" si="25"/>
        <v>276405</v>
      </c>
      <c r="P44" s="198">
        <f t="shared" si="25"/>
        <v>239521</v>
      </c>
      <c r="Q44" s="198">
        <f t="shared" si="25"/>
        <v>14087</v>
      </c>
      <c r="R44" s="198">
        <f t="shared" si="25"/>
        <v>287686</v>
      </c>
      <c r="S44" s="198">
        <f t="shared" si="25"/>
        <v>11281</v>
      </c>
      <c r="T44" s="198">
        <f t="shared" si="25"/>
        <v>48165</v>
      </c>
      <c r="U44" s="198">
        <f t="shared" si="25"/>
        <v>3500</v>
      </c>
      <c r="V44" s="198">
        <f t="shared" si="25"/>
        <v>3500</v>
      </c>
      <c r="W44" s="198">
        <f t="shared" si="25"/>
        <v>0</v>
      </c>
      <c r="X44" s="198">
        <f t="shared" si="25"/>
        <v>4500</v>
      </c>
      <c r="Y44" s="198">
        <f t="shared" si="25"/>
        <v>1000</v>
      </c>
      <c r="Z44" s="198">
        <f t="shared" si="25"/>
        <v>1000</v>
      </c>
      <c r="AA44" s="198">
        <f t="shared" si="25"/>
        <v>14697</v>
      </c>
      <c r="AB44" s="198">
        <f t="shared" si="25"/>
        <v>8787</v>
      </c>
      <c r="AC44" s="198">
        <f t="shared" si="25"/>
        <v>2513</v>
      </c>
      <c r="AD44" s="198">
        <f t="shared" si="25"/>
        <v>19034</v>
      </c>
      <c r="AE44" s="198">
        <f t="shared" si="25"/>
        <v>4637</v>
      </c>
      <c r="AF44" s="198">
        <f t="shared" si="25"/>
        <v>10547</v>
      </c>
      <c r="AG44" s="198">
        <f t="shared" si="25"/>
        <v>2499</v>
      </c>
      <c r="AH44" s="198">
        <f t="shared" si="25"/>
        <v>1680</v>
      </c>
      <c r="AI44" s="198">
        <f t="shared" si="25"/>
        <v>459</v>
      </c>
      <c r="AJ44" s="198">
        <f t="shared" si="25"/>
        <v>1160</v>
      </c>
      <c r="AK44" s="198">
        <f t="shared" si="25"/>
        <v>-1339</v>
      </c>
      <c r="AL44" s="198">
        <f t="shared" si="25"/>
        <v>-520</v>
      </c>
      <c r="AM44" s="198">
        <f t="shared" si="25"/>
        <v>2421</v>
      </c>
      <c r="AN44" s="198">
        <f t="shared" si="25"/>
        <v>0</v>
      </c>
      <c r="AO44" s="198">
        <f t="shared" si="25"/>
        <v>0</v>
      </c>
      <c r="AP44" s="198">
        <f t="shared" si="25"/>
        <v>3000</v>
      </c>
      <c r="AQ44" s="198">
        <f t="shared" si="25"/>
        <v>579</v>
      </c>
      <c r="AR44" s="198">
        <f t="shared" si="25"/>
        <v>3000</v>
      </c>
      <c r="AS44" s="198">
        <f t="shared" si="25"/>
        <v>10500</v>
      </c>
      <c r="AT44" s="198">
        <f t="shared" si="25"/>
        <v>5188</v>
      </c>
      <c r="AU44" s="198">
        <f t="shared" si="25"/>
        <v>5300</v>
      </c>
      <c r="AV44" s="198">
        <f t="shared" si="25"/>
        <v>0</v>
      </c>
      <c r="AW44" s="198">
        <f t="shared" si="25"/>
        <v>-10500</v>
      </c>
      <c r="AX44" s="198">
        <f t="shared" si="25"/>
        <v>-5188</v>
      </c>
      <c r="AY44" s="198">
        <f t="shared" si="25"/>
        <v>107284</v>
      </c>
      <c r="AZ44" s="198">
        <f t="shared" si="25"/>
        <v>73943</v>
      </c>
      <c r="BA44" s="198">
        <f t="shared" si="25"/>
        <v>22127</v>
      </c>
      <c r="BB44" s="198">
        <f t="shared" si="25"/>
        <v>142504</v>
      </c>
      <c r="BC44" s="198">
        <f t="shared" si="25"/>
        <v>35220</v>
      </c>
      <c r="BD44" s="198">
        <f t="shared" si="25"/>
        <v>68561</v>
      </c>
      <c r="BE44" s="198">
        <f t="shared" si="25"/>
        <v>610130</v>
      </c>
      <c r="BF44" s="198">
        <f t="shared" si="25"/>
        <v>517394</v>
      </c>
      <c r="BG44" s="198">
        <f t="shared" si="25"/>
        <v>44713</v>
      </c>
      <c r="BH44" s="198">
        <f t="shared" si="25"/>
        <v>660608</v>
      </c>
      <c r="BI44" s="198">
        <f t="shared" si="25"/>
        <v>50478</v>
      </c>
      <c r="BJ44" s="199">
        <f t="shared" si="25"/>
        <v>143214</v>
      </c>
    </row>
    <row r="46" spans="2:21" ht="16.5">
      <c r="B46" s="219" t="s">
        <v>31</v>
      </c>
      <c r="C46" s="220"/>
      <c r="D46" s="221"/>
      <c r="E46" s="221"/>
      <c r="F46" s="221"/>
      <c r="G46" s="221"/>
      <c r="H46" s="221"/>
      <c r="I46" s="221"/>
      <c r="J46" s="222"/>
      <c r="K46" s="222"/>
      <c r="L46" s="222"/>
      <c r="M46" s="222"/>
      <c r="N46" s="222"/>
      <c r="O46" s="221" t="s">
        <v>152</v>
      </c>
      <c r="P46" s="221"/>
      <c r="Q46" s="221"/>
      <c r="R46" s="4"/>
      <c r="S46" s="4"/>
      <c r="T46" s="4"/>
      <c r="U46" s="4"/>
    </row>
    <row r="47" spans="2:21" ht="16.5">
      <c r="B47" s="221" t="s">
        <v>33</v>
      </c>
      <c r="C47" s="220"/>
      <c r="D47" s="221"/>
      <c r="E47" s="221"/>
      <c r="F47" s="221"/>
      <c r="G47" s="221"/>
      <c r="H47" s="221"/>
      <c r="I47" s="221" t="s">
        <v>69</v>
      </c>
      <c r="J47" s="222"/>
      <c r="K47" s="222"/>
      <c r="L47" s="222"/>
      <c r="M47" s="222"/>
      <c r="N47" s="222"/>
      <c r="O47" s="221" t="s">
        <v>34</v>
      </c>
      <c r="P47" s="221"/>
      <c r="Q47" s="221"/>
      <c r="R47" s="4"/>
      <c r="S47" s="4"/>
      <c r="T47" s="4"/>
      <c r="U47" s="4"/>
    </row>
    <row r="48" spans="2:17" ht="16.5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</row>
    <row r="49" spans="2:17" ht="16.5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</row>
    <row r="50" spans="2:17" ht="16.5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</sheetData>
  <sheetProtection/>
  <printOptions/>
  <pageMargins left="0.82" right="0.17" top="0.25" bottom="0.34" header="0.17" footer="0.3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5.28125" style="0" customWidth="1"/>
    <col min="2" max="2" width="11.57421875" style="0" customWidth="1"/>
    <col min="4" max="4" width="14.8515625" style="0" customWidth="1"/>
    <col min="5" max="5" width="12.8515625" style="0" customWidth="1"/>
    <col min="6" max="6" width="11.28125" style="0" customWidth="1"/>
    <col min="7" max="7" width="13.140625" style="0" customWidth="1"/>
    <col min="8" max="8" width="12.7109375" style="0" customWidth="1"/>
  </cols>
  <sheetData>
    <row r="2" spans="1:3" ht="15">
      <c r="A2" s="4"/>
      <c r="C2" s="4" t="s">
        <v>153</v>
      </c>
    </row>
    <row r="3" spans="1:3" ht="15.75" thickBot="1">
      <c r="A3" s="4"/>
      <c r="C3" s="4"/>
    </row>
    <row r="4" spans="1:8" ht="15.75" thickBot="1">
      <c r="A4" s="265" t="s">
        <v>40</v>
      </c>
      <c r="B4" s="266"/>
      <c r="C4" s="267" t="s">
        <v>41</v>
      </c>
      <c r="D4" s="267"/>
      <c r="E4" s="267"/>
      <c r="F4" s="267"/>
      <c r="G4" s="267"/>
      <c r="H4" s="268"/>
    </row>
    <row r="5" spans="1:8" ht="15.75" thickBot="1">
      <c r="A5" s="269" t="s">
        <v>42</v>
      </c>
      <c r="B5" s="270" t="s">
        <v>43</v>
      </c>
      <c r="C5" s="213" t="s">
        <v>44</v>
      </c>
      <c r="D5" s="213" t="s">
        <v>45</v>
      </c>
      <c r="E5" s="261"/>
      <c r="F5" s="261"/>
      <c r="G5" s="261"/>
      <c r="H5" s="228"/>
    </row>
    <row r="6" spans="1:8" ht="15">
      <c r="A6" s="259"/>
      <c r="B6" s="260"/>
      <c r="C6" s="216" t="s">
        <v>46</v>
      </c>
      <c r="D6" s="215"/>
      <c r="E6" s="258">
        <v>6000000</v>
      </c>
      <c r="F6" s="254">
        <v>6010000</v>
      </c>
      <c r="G6" s="254">
        <v>6020000</v>
      </c>
      <c r="H6" s="256" t="s">
        <v>27</v>
      </c>
    </row>
    <row r="7" spans="1:8" ht="15.75" thickBot="1">
      <c r="A7" s="23"/>
      <c r="B7" s="218"/>
      <c r="C7" s="217"/>
      <c r="D7" s="137"/>
      <c r="E7" s="264"/>
      <c r="F7" s="255"/>
      <c r="G7" s="255"/>
      <c r="H7" s="257"/>
    </row>
    <row r="8" spans="1:8" ht="15">
      <c r="A8" s="136" t="s">
        <v>133</v>
      </c>
      <c r="B8" s="116">
        <v>3000000</v>
      </c>
      <c r="C8" s="27" t="s">
        <v>52</v>
      </c>
      <c r="D8" s="54" t="s">
        <v>48</v>
      </c>
      <c r="E8" s="120"/>
      <c r="F8" s="120"/>
      <c r="G8" s="120"/>
      <c r="H8" s="121">
        <f>SUM(E8:G8)</f>
        <v>0</v>
      </c>
    </row>
    <row r="9" spans="1:8" ht="15">
      <c r="A9" s="46"/>
      <c r="B9" s="116"/>
      <c r="C9" s="27" t="s">
        <v>71</v>
      </c>
      <c r="D9" s="54" t="s">
        <v>72</v>
      </c>
      <c r="E9" s="120"/>
      <c r="F9" s="120"/>
      <c r="G9" s="120">
        <v>754200</v>
      </c>
      <c r="H9" s="121">
        <f>SUM(E9:G9)</f>
        <v>754200</v>
      </c>
    </row>
    <row r="10" spans="1:8" ht="15">
      <c r="A10" s="46"/>
      <c r="B10" s="116"/>
      <c r="C10" s="27" t="s">
        <v>52</v>
      </c>
      <c r="D10" s="54" t="s">
        <v>76</v>
      </c>
      <c r="E10" s="120">
        <v>1603200</v>
      </c>
      <c r="F10" s="120">
        <v>267735</v>
      </c>
      <c r="G10" s="120"/>
      <c r="H10" s="121">
        <f>SUM(E10:G10)</f>
        <v>1870935</v>
      </c>
    </row>
    <row r="11" spans="1:8" ht="15">
      <c r="A11" s="48"/>
      <c r="B11" s="117"/>
      <c r="C11" s="27" t="s">
        <v>87</v>
      </c>
      <c r="D11" s="54" t="s">
        <v>120</v>
      </c>
      <c r="E11" s="120"/>
      <c r="F11" s="120"/>
      <c r="G11" s="120">
        <v>374865</v>
      </c>
      <c r="H11" s="121">
        <f>SUM(E11:G11)</f>
        <v>374865</v>
      </c>
    </row>
    <row r="12" spans="1:8" ht="15.75" thickBot="1">
      <c r="A12" s="201" t="s">
        <v>89</v>
      </c>
      <c r="B12" s="207">
        <f>SUM(B8:B10)</f>
        <v>3000000</v>
      </c>
      <c r="C12" s="203"/>
      <c r="D12" s="204" t="s">
        <v>90</v>
      </c>
      <c r="E12" s="208">
        <f>SUM(E8:E11)</f>
        <v>1603200</v>
      </c>
      <c r="F12" s="208">
        <f>SUM(F8:F11)</f>
        <v>267735</v>
      </c>
      <c r="G12" s="208">
        <f>SUM(G8:G11)</f>
        <v>1129065</v>
      </c>
      <c r="H12" s="209">
        <f>SUM(H8:H11)</f>
        <v>3000000</v>
      </c>
    </row>
    <row r="13" spans="1:8" ht="15">
      <c r="A13" s="113"/>
      <c r="B13" s="229"/>
      <c r="C13" s="230"/>
      <c r="D13" s="113"/>
      <c r="E13" s="231"/>
      <c r="F13" s="231"/>
      <c r="G13" s="231"/>
      <c r="H13" s="231"/>
    </row>
    <row r="14" spans="1:8" ht="15">
      <c r="A14" s="113"/>
      <c r="B14" s="229"/>
      <c r="C14" s="230"/>
      <c r="D14" s="113"/>
      <c r="E14" s="231"/>
      <c r="F14" s="231"/>
      <c r="G14" s="231"/>
      <c r="H14" s="231"/>
    </row>
    <row r="15" spans="1:8" ht="15.75">
      <c r="A15" s="223" t="s">
        <v>31</v>
      </c>
      <c r="B15" s="224"/>
      <c r="C15" s="224"/>
      <c r="D15" s="224"/>
      <c r="E15" s="224"/>
      <c r="F15" s="224"/>
      <c r="G15" s="224" t="s">
        <v>32</v>
      </c>
      <c r="H15" s="131"/>
    </row>
    <row r="16" spans="1:8" ht="15.75">
      <c r="A16" s="225" t="s">
        <v>33</v>
      </c>
      <c r="B16" s="225"/>
      <c r="C16" s="225"/>
      <c r="D16" s="225"/>
      <c r="E16" s="225"/>
      <c r="F16" s="226"/>
      <c r="G16" s="225" t="s">
        <v>34</v>
      </c>
      <c r="H16" s="133"/>
    </row>
    <row r="17" spans="1:7" ht="15.75">
      <c r="A17" s="227"/>
      <c r="B17" s="227"/>
      <c r="C17" s="227"/>
      <c r="D17" s="227"/>
      <c r="E17" s="227"/>
      <c r="F17" s="227"/>
      <c r="G17" s="227"/>
    </row>
  </sheetData>
  <sheetProtection/>
  <mergeCells count="9">
    <mergeCell ref="H6:H7"/>
    <mergeCell ref="A4:B4"/>
    <mergeCell ref="C4:H4"/>
    <mergeCell ref="A5:A6"/>
    <mergeCell ref="B5:B6"/>
    <mergeCell ref="E5:G5"/>
    <mergeCell ref="E6:E7"/>
    <mergeCell ref="F6:F7"/>
    <mergeCell ref="G6:G7"/>
  </mergeCells>
  <printOptions/>
  <pageMargins left="0.32" right="0.26" top="0.17" bottom="0.17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25.28125" style="0" customWidth="1"/>
    <col min="2" max="2" width="11.57421875" style="0" customWidth="1"/>
    <col min="4" max="4" width="14.8515625" style="0" customWidth="1"/>
    <col min="5" max="5" width="12.8515625" style="0" customWidth="1"/>
    <col min="6" max="6" width="11.28125" style="0" customWidth="1"/>
    <col min="7" max="7" width="13.140625" style="0" customWidth="1"/>
    <col min="8" max="8" width="12.28125" style="0" customWidth="1"/>
    <col min="9" max="9" width="11.140625" style="0" customWidth="1"/>
    <col min="10" max="10" width="10.421875" style="0" customWidth="1"/>
    <col min="11" max="11" width="10.57421875" style="0" customWidth="1"/>
    <col min="12" max="12" width="10.421875" style="0" customWidth="1"/>
    <col min="13" max="13" width="12.421875" style="0" customWidth="1"/>
    <col min="14" max="14" width="11.00390625" style="0" customWidth="1"/>
    <col min="15" max="15" width="12.7109375" style="0" customWidth="1"/>
  </cols>
  <sheetData>
    <row r="1" spans="1:3" ht="15.75" thickBot="1">
      <c r="A1" s="4" t="s">
        <v>142</v>
      </c>
      <c r="C1" s="4" t="s">
        <v>151</v>
      </c>
    </row>
    <row r="2" spans="1:15" ht="15">
      <c r="A2" s="258" t="s">
        <v>40</v>
      </c>
      <c r="B2" s="256"/>
      <c r="C2" s="254" t="s">
        <v>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6"/>
    </row>
    <row r="3" spans="1:15" ht="15.75" thickBot="1">
      <c r="A3" s="259" t="s">
        <v>42</v>
      </c>
      <c r="B3" s="260" t="s">
        <v>43</v>
      </c>
      <c r="C3" s="213" t="s">
        <v>44</v>
      </c>
      <c r="D3" s="213" t="s">
        <v>45</v>
      </c>
      <c r="E3" s="261"/>
      <c r="F3" s="261"/>
      <c r="G3" s="261"/>
      <c r="H3" s="214"/>
      <c r="I3" s="262"/>
      <c r="J3" s="262"/>
      <c r="K3" s="262"/>
      <c r="L3" s="262"/>
      <c r="M3" s="262"/>
      <c r="N3" s="262"/>
      <c r="O3" s="263"/>
    </row>
    <row r="4" spans="1:15" ht="15">
      <c r="A4" s="259"/>
      <c r="B4" s="260"/>
      <c r="C4" s="216" t="s">
        <v>46</v>
      </c>
      <c r="D4" s="215"/>
      <c r="E4" s="258">
        <v>6000000</v>
      </c>
      <c r="F4" s="254">
        <v>6010000</v>
      </c>
      <c r="G4" s="254">
        <v>6020000</v>
      </c>
      <c r="H4" s="254">
        <v>6030000</v>
      </c>
      <c r="I4" s="254">
        <v>6040000</v>
      </c>
      <c r="J4" s="254">
        <v>6060000</v>
      </c>
      <c r="K4" s="254">
        <v>6090000</v>
      </c>
      <c r="L4" s="254">
        <v>2300000</v>
      </c>
      <c r="M4" s="254">
        <v>2310000</v>
      </c>
      <c r="N4" s="189"/>
      <c r="O4" s="256" t="s">
        <v>27</v>
      </c>
    </row>
    <row r="5" spans="1:15" ht="15.75" thickBot="1">
      <c r="A5" s="23"/>
      <c r="B5" s="218"/>
      <c r="C5" s="217"/>
      <c r="D5" s="137"/>
      <c r="E5" s="264"/>
      <c r="F5" s="255"/>
      <c r="G5" s="255"/>
      <c r="H5" s="255"/>
      <c r="I5" s="255"/>
      <c r="J5" s="255"/>
      <c r="K5" s="255"/>
      <c r="L5" s="255"/>
      <c r="M5" s="255"/>
      <c r="N5" s="138">
        <v>1661300</v>
      </c>
      <c r="O5" s="257"/>
    </row>
    <row r="6" spans="1:15" ht="15">
      <c r="A6" s="39"/>
      <c r="B6" s="40"/>
      <c r="C6" s="52" t="s">
        <v>47</v>
      </c>
      <c r="D6" s="53" t="s">
        <v>48</v>
      </c>
      <c r="E6" s="118">
        <v>78881927</v>
      </c>
      <c r="F6" s="118">
        <v>12589830</v>
      </c>
      <c r="G6" s="118">
        <f>48581000+2551741</f>
        <v>51132741</v>
      </c>
      <c r="H6" s="118"/>
      <c r="I6" s="118">
        <f>10680000+4438000+400000</f>
        <v>15518000</v>
      </c>
      <c r="J6" s="118">
        <f>660000+20000</f>
        <v>680000</v>
      </c>
      <c r="K6" s="118"/>
      <c r="L6" s="118">
        <v>5300000</v>
      </c>
      <c r="M6" s="118">
        <f>2170000+821200</f>
        <v>2991200</v>
      </c>
      <c r="N6" s="118"/>
      <c r="O6" s="119">
        <f>SUM(E6:M6)</f>
        <v>167093698</v>
      </c>
    </row>
    <row r="7" spans="1:15" ht="15">
      <c r="A7" s="43"/>
      <c r="B7" s="25"/>
      <c r="C7" s="27" t="s">
        <v>137</v>
      </c>
      <c r="D7" s="54" t="s">
        <v>48</v>
      </c>
      <c r="E7" s="120"/>
      <c r="F7" s="120"/>
      <c r="G7" s="120"/>
      <c r="H7" s="120"/>
      <c r="I7" s="120"/>
      <c r="J7" s="120"/>
      <c r="K7" s="120"/>
      <c r="L7" s="120"/>
      <c r="M7" s="120"/>
      <c r="N7" s="120">
        <v>3057229</v>
      </c>
      <c r="O7" s="121">
        <f>SUM(E7:N7)</f>
        <v>3057229</v>
      </c>
    </row>
    <row r="8" spans="1:15" ht="15">
      <c r="A8" s="43"/>
      <c r="B8" s="25"/>
      <c r="C8" s="27" t="s">
        <v>128</v>
      </c>
      <c r="D8" s="54" t="s">
        <v>91</v>
      </c>
      <c r="E8" s="120">
        <v>200055</v>
      </c>
      <c r="F8" s="120">
        <v>26985</v>
      </c>
      <c r="G8" s="120">
        <v>812162</v>
      </c>
      <c r="H8" s="120"/>
      <c r="I8" s="120">
        <v>275000</v>
      </c>
      <c r="J8" s="120"/>
      <c r="K8" s="120"/>
      <c r="L8" s="120"/>
      <c r="M8" s="120">
        <v>444000</v>
      </c>
      <c r="N8" s="120"/>
      <c r="O8" s="121">
        <f aca="true" t="shared" si="0" ref="O8:O41">SUM(E8:M8)</f>
        <v>1758202</v>
      </c>
    </row>
    <row r="9" spans="1:15" ht="15">
      <c r="A9" s="43" t="s">
        <v>69</v>
      </c>
      <c r="B9" s="25"/>
      <c r="C9" s="27" t="s">
        <v>49</v>
      </c>
      <c r="D9" s="54" t="s">
        <v>50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>
        <f t="shared" si="0"/>
        <v>0</v>
      </c>
    </row>
    <row r="10" spans="1:15" ht="15">
      <c r="A10" s="43"/>
      <c r="B10" s="25"/>
      <c r="C10" s="27" t="s">
        <v>49</v>
      </c>
      <c r="D10" s="54" t="s">
        <v>91</v>
      </c>
      <c r="E10" s="120"/>
      <c r="F10" s="120"/>
      <c r="G10" s="120"/>
      <c r="H10" s="120"/>
      <c r="I10" s="120"/>
      <c r="J10" s="120"/>
      <c r="K10" s="120"/>
      <c r="L10" s="120"/>
      <c r="M10" s="120">
        <f>47678859.91+10647933+83467000-400000-647508-100000</f>
        <v>140646284.91</v>
      </c>
      <c r="N10" s="120"/>
      <c r="O10" s="121">
        <f t="shared" si="0"/>
        <v>140646284.91</v>
      </c>
    </row>
    <row r="11" spans="1:15" ht="15">
      <c r="A11" s="43"/>
      <c r="B11" s="25"/>
      <c r="C11" s="27" t="s">
        <v>51</v>
      </c>
      <c r="D11" s="54" t="s">
        <v>91</v>
      </c>
      <c r="E11" s="120"/>
      <c r="F11" s="120"/>
      <c r="G11" s="120"/>
      <c r="H11" s="120"/>
      <c r="I11" s="120"/>
      <c r="J11" s="120"/>
      <c r="K11" s="120"/>
      <c r="L11" s="120"/>
      <c r="M11" s="120">
        <v>647508</v>
      </c>
      <c r="N11" s="120"/>
      <c r="O11" s="121">
        <f t="shared" si="0"/>
        <v>647508</v>
      </c>
    </row>
    <row r="12" spans="1:15" ht="15">
      <c r="A12" s="43"/>
      <c r="B12" s="25"/>
      <c r="C12" s="27" t="s">
        <v>49</v>
      </c>
      <c r="D12" s="54" t="s">
        <v>92</v>
      </c>
      <c r="E12" s="120"/>
      <c r="F12" s="120"/>
      <c r="G12" s="120"/>
      <c r="H12" s="120"/>
      <c r="I12" s="120"/>
      <c r="J12" s="120"/>
      <c r="K12" s="120"/>
      <c r="L12" s="120"/>
      <c r="M12" s="120">
        <v>1383556</v>
      </c>
      <c r="N12" s="120"/>
      <c r="O12" s="121">
        <f t="shared" si="0"/>
        <v>1383556</v>
      </c>
    </row>
    <row r="13" spans="1:15" ht="15">
      <c r="A13" s="136" t="s">
        <v>133</v>
      </c>
      <c r="B13" s="116">
        <v>397046800</v>
      </c>
      <c r="C13" s="27" t="s">
        <v>52</v>
      </c>
      <c r="D13" s="54" t="s">
        <v>48</v>
      </c>
      <c r="E13" s="120"/>
      <c r="F13" s="120"/>
      <c r="G13" s="120"/>
      <c r="H13" s="120"/>
      <c r="I13" s="120"/>
      <c r="J13" s="120"/>
      <c r="K13" s="120"/>
      <c r="L13" s="120"/>
      <c r="M13" s="120">
        <v>2000000</v>
      </c>
      <c r="N13" s="120"/>
      <c r="O13" s="121">
        <f t="shared" si="0"/>
        <v>2000000</v>
      </c>
    </row>
    <row r="14" spans="1:15" ht="24.75" customHeight="1">
      <c r="A14" s="43" t="s">
        <v>134</v>
      </c>
      <c r="B14" s="117">
        <v>17272000</v>
      </c>
      <c r="C14" s="27" t="s">
        <v>47</v>
      </c>
      <c r="D14" s="54" t="s">
        <v>55</v>
      </c>
      <c r="E14" s="120"/>
      <c r="F14" s="120"/>
      <c r="G14" s="120">
        <v>4830000</v>
      </c>
      <c r="H14" s="120"/>
      <c r="I14" s="120"/>
      <c r="J14" s="120"/>
      <c r="K14" s="120"/>
      <c r="L14" s="120"/>
      <c r="M14" s="120"/>
      <c r="N14" s="120"/>
      <c r="O14" s="121">
        <f t="shared" si="0"/>
        <v>4830000</v>
      </c>
    </row>
    <row r="15" spans="1:15" ht="15.75" customHeight="1">
      <c r="A15" s="45" t="s">
        <v>135</v>
      </c>
      <c r="B15" s="116">
        <v>172460000</v>
      </c>
      <c r="C15" s="27" t="s">
        <v>51</v>
      </c>
      <c r="D15" s="54" t="s">
        <v>57</v>
      </c>
      <c r="E15" s="120">
        <v>4057000</v>
      </c>
      <c r="F15" s="120">
        <v>646000</v>
      </c>
      <c r="G15" s="120">
        <v>1510000</v>
      </c>
      <c r="H15" s="120"/>
      <c r="I15" s="120"/>
      <c r="J15" s="120"/>
      <c r="K15" s="120"/>
      <c r="L15" s="120"/>
      <c r="M15" s="120"/>
      <c r="N15" s="120"/>
      <c r="O15" s="121">
        <f t="shared" si="0"/>
        <v>6213000</v>
      </c>
    </row>
    <row r="16" spans="1:15" ht="25.5" customHeight="1">
      <c r="A16" s="125" t="s">
        <v>93</v>
      </c>
      <c r="B16" s="116">
        <v>23776307</v>
      </c>
      <c r="C16" s="27" t="s">
        <v>51</v>
      </c>
      <c r="D16" s="55" t="s">
        <v>59</v>
      </c>
      <c r="E16" s="120">
        <v>8505000</v>
      </c>
      <c r="F16" s="120">
        <v>1353000</v>
      </c>
      <c r="G16" s="120">
        <f>31550000+945486</f>
        <v>32495486</v>
      </c>
      <c r="H16" s="120"/>
      <c r="I16" s="120"/>
      <c r="J16" s="120">
        <v>319400</v>
      </c>
      <c r="K16" s="120"/>
      <c r="L16" s="120"/>
      <c r="M16" s="120">
        <v>980000</v>
      </c>
      <c r="N16" s="120"/>
      <c r="O16" s="121">
        <f t="shared" si="0"/>
        <v>43652886</v>
      </c>
    </row>
    <row r="17" spans="1:15" ht="15">
      <c r="A17" s="47" t="s">
        <v>136</v>
      </c>
      <c r="B17" s="116">
        <v>88665757.08</v>
      </c>
      <c r="C17" s="27" t="s">
        <v>60</v>
      </c>
      <c r="D17" s="55" t="s">
        <v>61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>
        <f t="shared" si="0"/>
        <v>0</v>
      </c>
    </row>
    <row r="18" spans="1:15" ht="15">
      <c r="A18" s="46"/>
      <c r="B18" s="116"/>
      <c r="C18" s="27" t="s">
        <v>62</v>
      </c>
      <c r="D18" s="55" t="s">
        <v>63</v>
      </c>
      <c r="E18" s="120"/>
      <c r="F18" s="120"/>
      <c r="G18" s="120">
        <f>317701+7200000</f>
        <v>7517701</v>
      </c>
      <c r="H18" s="120"/>
      <c r="I18" s="120"/>
      <c r="J18" s="120"/>
      <c r="K18" s="120"/>
      <c r="L18" s="120"/>
      <c r="M18" s="120">
        <v>200000</v>
      </c>
      <c r="N18" s="120"/>
      <c r="O18" s="121">
        <f t="shared" si="0"/>
        <v>7717701</v>
      </c>
    </row>
    <row r="19" spans="1:15" ht="15">
      <c r="A19" s="47"/>
      <c r="B19" s="116"/>
      <c r="C19" s="27" t="s">
        <v>64</v>
      </c>
      <c r="D19" s="54" t="s">
        <v>36</v>
      </c>
      <c r="E19" s="120">
        <v>10815000</v>
      </c>
      <c r="F19" s="120">
        <v>1720000</v>
      </c>
      <c r="G19" s="120">
        <f>13800000+68104</f>
        <v>13868104</v>
      </c>
      <c r="H19" s="120"/>
      <c r="I19" s="120"/>
      <c r="J19" s="120"/>
      <c r="K19" s="120"/>
      <c r="L19" s="120"/>
      <c r="M19" s="120">
        <v>200000</v>
      </c>
      <c r="N19" s="120"/>
      <c r="O19" s="121">
        <f t="shared" si="0"/>
        <v>26603104</v>
      </c>
    </row>
    <row r="20" spans="1:15" ht="15">
      <c r="A20" s="43"/>
      <c r="B20" s="116"/>
      <c r="C20" s="27" t="s">
        <v>65</v>
      </c>
      <c r="D20" s="54" t="s">
        <v>66</v>
      </c>
      <c r="E20" s="120">
        <v>6174228</v>
      </c>
      <c r="F20" s="120">
        <v>981519</v>
      </c>
      <c r="G20" s="120">
        <v>12382000</v>
      </c>
      <c r="H20" s="120"/>
      <c r="I20" s="120"/>
      <c r="J20" s="120"/>
      <c r="K20" s="120"/>
      <c r="L20" s="120"/>
      <c r="M20" s="120"/>
      <c r="N20" s="120"/>
      <c r="O20" s="121">
        <f t="shared" si="0"/>
        <v>19537747</v>
      </c>
    </row>
    <row r="21" spans="1:15" ht="15">
      <c r="A21" s="43"/>
      <c r="B21" s="116"/>
      <c r="C21" s="27" t="s">
        <v>67</v>
      </c>
      <c r="D21" s="54" t="s">
        <v>68</v>
      </c>
      <c r="E21" s="120"/>
      <c r="F21" s="120"/>
      <c r="G21" s="120"/>
      <c r="H21" s="120"/>
      <c r="I21" s="120"/>
      <c r="J21" s="120"/>
      <c r="K21" s="120"/>
      <c r="L21" s="120"/>
      <c r="M21" s="120">
        <f>50059.5+600000</f>
        <v>650059.5</v>
      </c>
      <c r="N21" s="120"/>
      <c r="O21" s="121">
        <f t="shared" si="0"/>
        <v>650059.5</v>
      </c>
    </row>
    <row r="22" spans="1:15" ht="15">
      <c r="A22" s="46" t="s">
        <v>69</v>
      </c>
      <c r="B22" s="116"/>
      <c r="C22" s="27" t="s">
        <v>65</v>
      </c>
      <c r="D22" s="54" t="s">
        <v>70</v>
      </c>
      <c r="E22" s="120">
        <v>3558000</v>
      </c>
      <c r="F22" s="120">
        <v>568000</v>
      </c>
      <c r="G22" s="120">
        <f>1600000+10330000</f>
        <v>11930000</v>
      </c>
      <c r="H22" s="120"/>
      <c r="I22" s="120"/>
      <c r="J22" s="120"/>
      <c r="K22" s="120"/>
      <c r="L22" s="120"/>
      <c r="M22" s="120">
        <v>1400000</v>
      </c>
      <c r="N22" s="120"/>
      <c r="O22" s="121">
        <f t="shared" si="0"/>
        <v>17456000</v>
      </c>
    </row>
    <row r="23" spans="1:15" ht="15">
      <c r="A23" s="46"/>
      <c r="B23" s="116"/>
      <c r="C23" s="27" t="s">
        <v>67</v>
      </c>
      <c r="D23" s="54" t="s">
        <v>129</v>
      </c>
      <c r="E23" s="120"/>
      <c r="F23" s="120"/>
      <c r="G23" s="120">
        <v>200</v>
      </c>
      <c r="H23" s="120"/>
      <c r="I23" s="120"/>
      <c r="J23" s="120"/>
      <c r="K23" s="120"/>
      <c r="L23" s="120"/>
      <c r="M23" s="120"/>
      <c r="N23" s="120"/>
      <c r="O23" s="121">
        <f t="shared" si="0"/>
        <v>200</v>
      </c>
    </row>
    <row r="24" spans="1:15" ht="15">
      <c r="A24" s="46"/>
      <c r="B24" s="116"/>
      <c r="C24" s="27" t="s">
        <v>71</v>
      </c>
      <c r="D24" s="54" t="s">
        <v>72</v>
      </c>
      <c r="E24" s="120">
        <v>6256000</v>
      </c>
      <c r="F24" s="120">
        <v>995000</v>
      </c>
      <c r="G24" s="120">
        <f>1520000+15755000+100000</f>
        <v>17375000</v>
      </c>
      <c r="H24" s="120"/>
      <c r="I24" s="120"/>
      <c r="J24" s="120"/>
      <c r="K24" s="120"/>
      <c r="L24" s="120"/>
      <c r="M24" s="120">
        <f>137000+630000</f>
        <v>767000</v>
      </c>
      <c r="N24" s="120"/>
      <c r="O24" s="121">
        <f t="shared" si="0"/>
        <v>25393000</v>
      </c>
    </row>
    <row r="25" spans="1:15" ht="15">
      <c r="A25" s="46"/>
      <c r="B25" s="116"/>
      <c r="C25" s="27" t="s">
        <v>73</v>
      </c>
      <c r="D25" s="54" t="s">
        <v>74</v>
      </c>
      <c r="E25" s="120"/>
      <c r="F25" s="120"/>
      <c r="G25" s="120">
        <v>6238</v>
      </c>
      <c r="H25" s="120"/>
      <c r="I25" s="120"/>
      <c r="J25" s="120"/>
      <c r="K25" s="120"/>
      <c r="L25" s="120"/>
      <c r="M25" s="120"/>
      <c r="N25" s="120"/>
      <c r="O25" s="121">
        <f t="shared" si="0"/>
        <v>6238</v>
      </c>
    </row>
    <row r="26" spans="1:15" ht="15">
      <c r="A26" s="46"/>
      <c r="B26" s="116"/>
      <c r="C26" s="27" t="s">
        <v>71</v>
      </c>
      <c r="D26" s="54" t="s">
        <v>9</v>
      </c>
      <c r="E26" s="120">
        <v>10586000</v>
      </c>
      <c r="F26" s="120">
        <v>1690000</v>
      </c>
      <c r="G26" s="120">
        <v>9679000</v>
      </c>
      <c r="H26" s="120"/>
      <c r="I26" s="120"/>
      <c r="J26" s="120"/>
      <c r="K26" s="120"/>
      <c r="L26" s="120"/>
      <c r="M26" s="120"/>
      <c r="N26" s="120"/>
      <c r="O26" s="121">
        <f t="shared" si="0"/>
        <v>21955000</v>
      </c>
    </row>
    <row r="27" spans="1:15" ht="15">
      <c r="A27" s="46"/>
      <c r="B27" s="116"/>
      <c r="C27" s="27" t="s">
        <v>47</v>
      </c>
      <c r="D27" s="54" t="s">
        <v>11</v>
      </c>
      <c r="E27" s="120"/>
      <c r="F27" s="120"/>
      <c r="G27" s="120"/>
      <c r="H27" s="120"/>
      <c r="I27" s="120"/>
      <c r="J27" s="120"/>
      <c r="K27" s="120"/>
      <c r="L27" s="120"/>
      <c r="M27" s="120">
        <f>450000+12550358+1693+3500</f>
        <v>13005551</v>
      </c>
      <c r="N27" s="120"/>
      <c r="O27" s="121">
        <f t="shared" si="0"/>
        <v>13005551</v>
      </c>
    </row>
    <row r="28" spans="1:15" ht="15">
      <c r="A28" s="46"/>
      <c r="B28" s="116"/>
      <c r="C28" s="27" t="s">
        <v>71</v>
      </c>
      <c r="D28" s="54" t="s">
        <v>75</v>
      </c>
      <c r="E28" s="120">
        <v>5891000</v>
      </c>
      <c r="F28" s="120">
        <v>937000</v>
      </c>
      <c r="G28" s="120">
        <v>2275000</v>
      </c>
      <c r="H28" s="120"/>
      <c r="I28" s="120"/>
      <c r="J28" s="120"/>
      <c r="K28" s="120"/>
      <c r="L28" s="120"/>
      <c r="M28" s="120">
        <f>331850+1100000</f>
        <v>1431850</v>
      </c>
      <c r="N28" s="120"/>
      <c r="O28" s="121">
        <f t="shared" si="0"/>
        <v>10534850</v>
      </c>
    </row>
    <row r="29" spans="1:15" ht="15">
      <c r="A29" s="46"/>
      <c r="B29" s="116"/>
      <c r="C29" s="27" t="s">
        <v>52</v>
      </c>
      <c r="D29" s="54" t="s">
        <v>76</v>
      </c>
      <c r="E29" s="120">
        <v>36699000</v>
      </c>
      <c r="F29" s="120">
        <v>5700000</v>
      </c>
      <c r="G29" s="120">
        <f>53013000+3011000</f>
        <v>56024000</v>
      </c>
      <c r="H29" s="120"/>
      <c r="I29" s="120"/>
      <c r="J29" s="120"/>
      <c r="K29" s="120"/>
      <c r="L29" s="120"/>
      <c r="M29" s="120">
        <f>32000+4318000</f>
        <v>4350000</v>
      </c>
      <c r="N29" s="120"/>
      <c r="O29" s="121">
        <f t="shared" si="0"/>
        <v>102773000</v>
      </c>
    </row>
    <row r="30" spans="1:15" ht="15">
      <c r="A30" s="48"/>
      <c r="B30" s="117"/>
      <c r="C30" s="27" t="s">
        <v>52</v>
      </c>
      <c r="D30" s="54" t="s">
        <v>81</v>
      </c>
      <c r="E30" s="120">
        <v>496081</v>
      </c>
      <c r="F30" s="120">
        <v>78900</v>
      </c>
      <c r="G30" s="120">
        <f>2695564+59284229</f>
        <v>61979793</v>
      </c>
      <c r="H30" s="120"/>
      <c r="I30" s="120"/>
      <c r="J30" s="120"/>
      <c r="K30" s="120"/>
      <c r="L30" s="120"/>
      <c r="M30" s="120"/>
      <c r="N30" s="120"/>
      <c r="O30" s="121">
        <f t="shared" si="0"/>
        <v>62554774</v>
      </c>
    </row>
    <row r="31" spans="1:15" ht="15">
      <c r="A31" s="48"/>
      <c r="B31" s="117"/>
      <c r="C31" s="27" t="s">
        <v>52</v>
      </c>
      <c r="D31" s="54" t="s">
        <v>82</v>
      </c>
      <c r="E31" s="120"/>
      <c r="F31" s="120"/>
      <c r="G31" s="120">
        <v>4223113</v>
      </c>
      <c r="H31" s="120"/>
      <c r="I31" s="120"/>
      <c r="J31" s="120"/>
      <c r="K31" s="120"/>
      <c r="L31" s="120"/>
      <c r="M31" s="120"/>
      <c r="N31" s="120"/>
      <c r="O31" s="121">
        <f t="shared" si="0"/>
        <v>4223113</v>
      </c>
    </row>
    <row r="32" spans="1:15" ht="15">
      <c r="A32" s="48"/>
      <c r="B32" s="117"/>
      <c r="C32" s="27" t="s">
        <v>79</v>
      </c>
      <c r="D32" s="54" t="s">
        <v>18</v>
      </c>
      <c r="E32" s="120"/>
      <c r="F32" s="120"/>
      <c r="G32" s="120"/>
      <c r="H32" s="120">
        <v>3500000</v>
      </c>
      <c r="I32" s="120"/>
      <c r="J32" s="120"/>
      <c r="K32" s="120"/>
      <c r="L32" s="120"/>
      <c r="M32" s="120"/>
      <c r="N32" s="120"/>
      <c r="O32" s="121">
        <f t="shared" si="0"/>
        <v>3500000</v>
      </c>
    </row>
    <row r="33" spans="1:15" ht="15">
      <c r="A33" s="48"/>
      <c r="B33" s="117"/>
      <c r="C33" s="27" t="s">
        <v>83</v>
      </c>
      <c r="D33" s="54" t="s">
        <v>21</v>
      </c>
      <c r="E33" s="120"/>
      <c r="F33" s="120"/>
      <c r="G33" s="120"/>
      <c r="H33" s="120"/>
      <c r="I33" s="120"/>
      <c r="J33" s="120"/>
      <c r="K33" s="120">
        <v>3000000</v>
      </c>
      <c r="L33" s="120"/>
      <c r="M33" s="120"/>
      <c r="N33" s="120"/>
      <c r="O33" s="121">
        <f t="shared" si="0"/>
        <v>3000000</v>
      </c>
    </row>
    <row r="34" spans="1:15" ht="15">
      <c r="A34" s="48"/>
      <c r="B34" s="117"/>
      <c r="C34" s="27" t="s">
        <v>83</v>
      </c>
      <c r="D34" s="54" t="s">
        <v>138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>
        <f t="shared" si="0"/>
        <v>0</v>
      </c>
    </row>
    <row r="35" spans="1:15" ht="15">
      <c r="A35" s="48"/>
      <c r="B35" s="117"/>
      <c r="C35" s="27" t="s">
        <v>47</v>
      </c>
      <c r="D35" s="54" t="s">
        <v>139</v>
      </c>
      <c r="E35" s="120"/>
      <c r="F35" s="120"/>
      <c r="G35" s="120"/>
      <c r="H35" s="120"/>
      <c r="I35" s="120">
        <v>6000000</v>
      </c>
      <c r="J35" s="120"/>
      <c r="K35" s="120"/>
      <c r="L35" s="120"/>
      <c r="M35" s="120"/>
      <c r="N35" s="120"/>
      <c r="O35" s="121">
        <f t="shared" si="0"/>
        <v>6000000</v>
      </c>
    </row>
    <row r="36" spans="1:15" ht="15">
      <c r="A36" s="48"/>
      <c r="B36" s="117"/>
      <c r="C36" s="27" t="s">
        <v>83</v>
      </c>
      <c r="D36" s="54" t="s">
        <v>85</v>
      </c>
      <c r="E36" s="120"/>
      <c r="F36" s="120"/>
      <c r="G36" s="120"/>
      <c r="H36" s="120"/>
      <c r="I36" s="120"/>
      <c r="J36" s="120">
        <f>120000+500000</f>
        <v>620000</v>
      </c>
      <c r="K36" s="120"/>
      <c r="L36" s="120"/>
      <c r="M36" s="120"/>
      <c r="N36" s="120"/>
      <c r="O36" s="121">
        <f t="shared" si="0"/>
        <v>620000</v>
      </c>
    </row>
    <row r="37" spans="1:15" ht="15">
      <c r="A37" s="48"/>
      <c r="B37" s="117"/>
      <c r="C37" s="27" t="s">
        <v>87</v>
      </c>
      <c r="D37" s="54" t="s">
        <v>37</v>
      </c>
      <c r="E37" s="120"/>
      <c r="F37" s="120"/>
      <c r="G37" s="120">
        <f>65478+300000</f>
        <v>365478</v>
      </c>
      <c r="H37" s="120"/>
      <c r="I37" s="120"/>
      <c r="J37" s="120"/>
      <c r="K37" s="120"/>
      <c r="L37" s="120"/>
      <c r="M37" s="120">
        <v>50000</v>
      </c>
      <c r="N37" s="120"/>
      <c r="O37" s="121">
        <f t="shared" si="0"/>
        <v>415478</v>
      </c>
    </row>
    <row r="38" spans="1:15" ht="15">
      <c r="A38" s="48"/>
      <c r="B38" s="117"/>
      <c r="C38" s="27" t="s">
        <v>119</v>
      </c>
      <c r="D38" s="54" t="s">
        <v>130</v>
      </c>
      <c r="E38" s="120"/>
      <c r="F38" s="120"/>
      <c r="G38" s="120">
        <v>5024</v>
      </c>
      <c r="H38" s="120"/>
      <c r="I38" s="120"/>
      <c r="J38" s="120"/>
      <c r="K38" s="120"/>
      <c r="L38" s="120"/>
      <c r="M38" s="120"/>
      <c r="N38" s="120"/>
      <c r="O38" s="121">
        <f t="shared" si="0"/>
        <v>5024</v>
      </c>
    </row>
    <row r="39" spans="1:15" ht="15">
      <c r="A39" s="48"/>
      <c r="B39" s="117"/>
      <c r="C39" s="27" t="s">
        <v>87</v>
      </c>
      <c r="D39" s="54" t="s">
        <v>88</v>
      </c>
      <c r="E39" s="120"/>
      <c r="F39" s="120"/>
      <c r="G39" s="120">
        <f>200104+500000</f>
        <v>700104</v>
      </c>
      <c r="H39" s="120"/>
      <c r="I39" s="120"/>
      <c r="J39" s="120"/>
      <c r="K39" s="120"/>
      <c r="L39" s="120"/>
      <c r="M39" s="120">
        <v>100000</v>
      </c>
      <c r="N39" s="120"/>
      <c r="O39" s="121">
        <f t="shared" si="0"/>
        <v>800104</v>
      </c>
    </row>
    <row r="40" spans="1:15" ht="15">
      <c r="A40" s="48"/>
      <c r="B40" s="117"/>
      <c r="C40" s="27" t="s">
        <v>87</v>
      </c>
      <c r="D40" s="54" t="s">
        <v>120</v>
      </c>
      <c r="E40" s="120"/>
      <c r="F40" s="120"/>
      <c r="G40" s="120">
        <v>900</v>
      </c>
      <c r="H40" s="120"/>
      <c r="I40" s="120"/>
      <c r="J40" s="120"/>
      <c r="K40" s="120"/>
      <c r="L40" s="120"/>
      <c r="M40" s="120"/>
      <c r="N40" s="120"/>
      <c r="O40" s="121">
        <f t="shared" si="0"/>
        <v>900</v>
      </c>
    </row>
    <row r="41" spans="1:15" ht="15.75" thickBot="1">
      <c r="A41" s="23"/>
      <c r="B41" s="210"/>
      <c r="C41" s="56" t="s">
        <v>119</v>
      </c>
      <c r="D41" s="57" t="s">
        <v>120</v>
      </c>
      <c r="E41" s="211"/>
      <c r="F41" s="211"/>
      <c r="G41" s="211">
        <v>186656.67</v>
      </c>
      <c r="H41" s="211"/>
      <c r="I41" s="211"/>
      <c r="J41" s="211"/>
      <c r="K41" s="211"/>
      <c r="L41" s="211"/>
      <c r="M41" s="211"/>
      <c r="N41" s="211"/>
      <c r="O41" s="212">
        <f t="shared" si="0"/>
        <v>186656.67</v>
      </c>
    </row>
    <row r="42" spans="1:15" ht="15.75" thickBot="1">
      <c r="A42" s="201" t="s">
        <v>89</v>
      </c>
      <c r="B42" s="207">
        <f>SUM(B6:B36)</f>
        <v>699220864.08</v>
      </c>
      <c r="C42" s="203"/>
      <c r="D42" s="204" t="s">
        <v>90</v>
      </c>
      <c r="E42" s="208">
        <f aca="true" t="shared" si="1" ref="E42:O42">SUM(E6:E41)</f>
        <v>172119291</v>
      </c>
      <c r="F42" s="208">
        <f t="shared" si="1"/>
        <v>27286234</v>
      </c>
      <c r="G42" s="208">
        <f t="shared" si="1"/>
        <v>289298700.67</v>
      </c>
      <c r="H42" s="208">
        <f t="shared" si="1"/>
        <v>3500000</v>
      </c>
      <c r="I42" s="208">
        <f t="shared" si="1"/>
        <v>21793000</v>
      </c>
      <c r="J42" s="208">
        <f t="shared" si="1"/>
        <v>1619400</v>
      </c>
      <c r="K42" s="208">
        <f t="shared" si="1"/>
        <v>3000000</v>
      </c>
      <c r="L42" s="208">
        <f t="shared" si="1"/>
        <v>5300000</v>
      </c>
      <c r="M42" s="208">
        <f t="shared" si="1"/>
        <v>171247009.41</v>
      </c>
      <c r="N42" s="208">
        <f t="shared" si="1"/>
        <v>3057229</v>
      </c>
      <c r="O42" s="209">
        <f t="shared" si="1"/>
        <v>698220864.0799999</v>
      </c>
    </row>
    <row r="43" spans="1:15" ht="15.75">
      <c r="A43" s="223" t="s">
        <v>31</v>
      </c>
      <c r="B43" s="224"/>
      <c r="C43" s="224"/>
      <c r="D43" s="224"/>
      <c r="E43" s="224"/>
      <c r="F43" s="224"/>
      <c r="G43" s="224" t="s">
        <v>32</v>
      </c>
      <c r="H43" s="224"/>
      <c r="I43" s="130"/>
      <c r="J43" s="130"/>
      <c r="K43" s="130"/>
      <c r="L43" s="130"/>
      <c r="M43" s="131"/>
      <c r="N43" s="131"/>
      <c r="O43" s="131"/>
    </row>
    <row r="44" spans="1:15" ht="15.75">
      <c r="A44" s="225" t="s">
        <v>33</v>
      </c>
      <c r="B44" s="225"/>
      <c r="C44" s="225"/>
      <c r="D44" s="225"/>
      <c r="E44" s="225"/>
      <c r="F44" s="226"/>
      <c r="G44" s="225" t="s">
        <v>34</v>
      </c>
      <c r="H44" s="225"/>
      <c r="I44" s="132"/>
      <c r="J44" s="132"/>
      <c r="K44" s="132"/>
      <c r="L44" s="133"/>
      <c r="M44" s="133"/>
      <c r="N44" s="133"/>
      <c r="O44" s="133"/>
    </row>
    <row r="45" spans="1:8" ht="15.75">
      <c r="A45" s="227"/>
      <c r="B45" s="227"/>
      <c r="C45" s="227"/>
      <c r="D45" s="227"/>
      <c r="E45" s="227"/>
      <c r="F45" s="227"/>
      <c r="G45" s="227"/>
      <c r="H45" s="227"/>
    </row>
  </sheetData>
  <sheetProtection/>
  <mergeCells count="16">
    <mergeCell ref="A2:B2"/>
    <mergeCell ref="C2:O2"/>
    <mergeCell ref="A3:A4"/>
    <mergeCell ref="B3:B4"/>
    <mergeCell ref="E3:G3"/>
    <mergeCell ref="I3:O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</mergeCells>
  <printOptions/>
  <pageMargins left="0.32" right="0.26" top="0.17" bottom="0.17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21.00390625" style="0" customWidth="1"/>
    <col min="2" max="2" width="10.8515625" style="0" customWidth="1"/>
    <col min="4" max="4" width="14.8515625" style="0" customWidth="1"/>
    <col min="5" max="5" width="11.00390625" style="0" customWidth="1"/>
    <col min="6" max="6" width="9.8515625" style="0" customWidth="1"/>
    <col min="7" max="7" width="11.421875" style="0" customWidth="1"/>
    <col min="8" max="8" width="6.7109375" style="0" customWidth="1"/>
    <col min="9" max="9" width="10.140625" style="0" customWidth="1"/>
    <col min="10" max="10" width="9.7109375" style="0" customWidth="1"/>
    <col min="11" max="11" width="7.140625" style="0" customWidth="1"/>
    <col min="12" max="12" width="10.421875" style="0" customWidth="1"/>
    <col min="13" max="13" width="11.00390625" style="0" customWidth="1"/>
    <col min="14" max="14" width="11.28125" style="0" customWidth="1"/>
  </cols>
  <sheetData>
    <row r="1" spans="1:3" ht="15.75" thickBot="1">
      <c r="A1" s="4" t="s">
        <v>113</v>
      </c>
      <c r="C1" s="4" t="s">
        <v>131</v>
      </c>
    </row>
    <row r="2" spans="1:14" ht="15">
      <c r="A2" s="258" t="s">
        <v>40</v>
      </c>
      <c r="B2" s="274"/>
      <c r="C2" s="254" t="s">
        <v>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6"/>
    </row>
    <row r="3" spans="1:14" ht="15">
      <c r="A3" s="259" t="s">
        <v>42</v>
      </c>
      <c r="B3" s="271" t="s">
        <v>43</v>
      </c>
      <c r="C3" s="21" t="s">
        <v>44</v>
      </c>
      <c r="D3" s="21" t="s">
        <v>45</v>
      </c>
      <c r="E3" s="275"/>
      <c r="F3" s="275"/>
      <c r="G3" s="275"/>
      <c r="H3" s="22"/>
      <c r="I3" s="276"/>
      <c r="J3" s="276"/>
      <c r="K3" s="276"/>
      <c r="L3" s="276"/>
      <c r="M3" s="276"/>
      <c r="N3" s="277"/>
    </row>
    <row r="4" spans="1:14" ht="15">
      <c r="A4" s="259"/>
      <c r="B4" s="271"/>
      <c r="C4" s="21" t="s">
        <v>46</v>
      </c>
      <c r="D4" s="21"/>
      <c r="E4" s="271">
        <v>6000000</v>
      </c>
      <c r="F4" s="271">
        <v>6010000</v>
      </c>
      <c r="G4" s="271">
        <v>6020000</v>
      </c>
      <c r="H4" s="271">
        <v>6030000</v>
      </c>
      <c r="I4" s="271">
        <v>6040000</v>
      </c>
      <c r="J4" s="271">
        <v>6060000</v>
      </c>
      <c r="K4" s="271">
        <v>6090000</v>
      </c>
      <c r="L4" s="271">
        <v>2300000</v>
      </c>
      <c r="M4" s="271">
        <v>2310000</v>
      </c>
      <c r="N4" s="260" t="s">
        <v>27</v>
      </c>
    </row>
    <row r="5" spans="1:14" ht="15.75" thickBot="1">
      <c r="A5" s="126"/>
      <c r="B5" s="200"/>
      <c r="C5" s="200"/>
      <c r="D5" s="200"/>
      <c r="E5" s="272"/>
      <c r="F5" s="272"/>
      <c r="G5" s="272"/>
      <c r="H5" s="272"/>
      <c r="I5" s="272"/>
      <c r="J5" s="272"/>
      <c r="K5" s="272"/>
      <c r="L5" s="272"/>
      <c r="M5" s="272"/>
      <c r="N5" s="273"/>
    </row>
    <row r="6" spans="1:14" ht="15">
      <c r="A6" s="39"/>
      <c r="B6" s="40"/>
      <c r="C6" s="52" t="s">
        <v>47</v>
      </c>
      <c r="D6" s="53" t="s">
        <v>48</v>
      </c>
      <c r="E6" s="118"/>
      <c r="F6" s="118"/>
      <c r="G6" s="118">
        <v>2551741</v>
      </c>
      <c r="H6" s="118"/>
      <c r="I6" s="118">
        <v>4438000</v>
      </c>
      <c r="J6" s="118">
        <v>20000</v>
      </c>
      <c r="K6" s="118"/>
      <c r="L6" s="118">
        <v>5300000</v>
      </c>
      <c r="M6" s="118">
        <v>821200</v>
      </c>
      <c r="N6" s="119">
        <f>SUM(E6:M6)</f>
        <v>13130941</v>
      </c>
    </row>
    <row r="7" spans="1:14" ht="15">
      <c r="A7" s="43"/>
      <c r="B7" s="25"/>
      <c r="C7" s="27" t="s">
        <v>128</v>
      </c>
      <c r="D7" s="54" t="s">
        <v>91</v>
      </c>
      <c r="E7" s="120">
        <v>200055</v>
      </c>
      <c r="F7" s="120">
        <v>26985</v>
      </c>
      <c r="G7" s="120">
        <v>812162</v>
      </c>
      <c r="H7" s="120"/>
      <c r="I7" s="120">
        <v>275000</v>
      </c>
      <c r="J7" s="120"/>
      <c r="K7" s="120"/>
      <c r="L7" s="120"/>
      <c r="M7" s="120">
        <v>444000</v>
      </c>
      <c r="N7" s="121">
        <f>SUM(E7:M7)</f>
        <v>1758202</v>
      </c>
    </row>
    <row r="8" spans="1:14" ht="15">
      <c r="A8" s="43" t="s">
        <v>69</v>
      </c>
      <c r="B8" s="25"/>
      <c r="C8" s="27" t="s">
        <v>49</v>
      </c>
      <c r="D8" s="54" t="s">
        <v>50</v>
      </c>
      <c r="E8" s="120"/>
      <c r="F8" s="120"/>
      <c r="G8" s="120"/>
      <c r="H8" s="120"/>
      <c r="I8" s="120"/>
      <c r="J8" s="120"/>
      <c r="K8" s="120"/>
      <c r="L8" s="120"/>
      <c r="M8" s="120"/>
      <c r="N8" s="121">
        <f>SUM(E8:M8)</f>
        <v>0</v>
      </c>
    </row>
    <row r="9" spans="1:14" ht="15">
      <c r="A9" s="43"/>
      <c r="B9" s="25"/>
      <c r="C9" s="27" t="s">
        <v>49</v>
      </c>
      <c r="D9" s="54" t="s">
        <v>91</v>
      </c>
      <c r="E9" s="120"/>
      <c r="F9" s="120"/>
      <c r="G9" s="120"/>
      <c r="H9" s="120"/>
      <c r="I9" s="120"/>
      <c r="J9" s="120"/>
      <c r="K9" s="120"/>
      <c r="L9" s="120"/>
      <c r="M9" s="120">
        <f>47678859.91+10647933-647508-100000</f>
        <v>57579284.91</v>
      </c>
      <c r="N9" s="121">
        <f>SUM(E9:M9)</f>
        <v>57579284.91</v>
      </c>
    </row>
    <row r="10" spans="1:14" ht="15">
      <c r="A10" s="43"/>
      <c r="B10" s="25"/>
      <c r="C10" s="27" t="s">
        <v>51</v>
      </c>
      <c r="D10" s="54" t="s">
        <v>48</v>
      </c>
      <c r="E10" s="120"/>
      <c r="F10" s="120"/>
      <c r="G10" s="120"/>
      <c r="H10" s="120"/>
      <c r="I10" s="120"/>
      <c r="J10" s="120"/>
      <c r="K10" s="120"/>
      <c r="L10" s="120"/>
      <c r="M10" s="120">
        <v>647508</v>
      </c>
      <c r="N10" s="121">
        <f>SUM(E10:M10)</f>
        <v>647508</v>
      </c>
    </row>
    <row r="11" spans="1:14" ht="15">
      <c r="A11" s="43"/>
      <c r="B11" s="25"/>
      <c r="C11" s="27" t="s">
        <v>49</v>
      </c>
      <c r="D11" s="54" t="s">
        <v>92</v>
      </c>
      <c r="E11" s="120"/>
      <c r="F11" s="120"/>
      <c r="G11" s="120"/>
      <c r="H11" s="120"/>
      <c r="I11" s="120"/>
      <c r="J11" s="120"/>
      <c r="K11" s="120"/>
      <c r="L11" s="120"/>
      <c r="M11" s="120">
        <v>1383556</v>
      </c>
      <c r="N11" s="121">
        <f aca="true" t="shared" si="0" ref="N11:N35">SUM(E11:M11)</f>
        <v>1383556</v>
      </c>
    </row>
    <row r="12" spans="1:14" ht="15">
      <c r="A12" s="123" t="s">
        <v>144</v>
      </c>
      <c r="B12" s="116">
        <f>50000+78275.77</f>
        <v>128275.77</v>
      </c>
      <c r="C12" s="27" t="s">
        <v>52</v>
      </c>
      <c r="D12" s="54" t="s">
        <v>48</v>
      </c>
      <c r="E12" s="120"/>
      <c r="F12" s="120"/>
      <c r="G12" s="120"/>
      <c r="H12" s="120"/>
      <c r="I12" s="120"/>
      <c r="J12" s="120"/>
      <c r="K12" s="120"/>
      <c r="L12" s="120"/>
      <c r="M12" s="120">
        <v>2000000</v>
      </c>
      <c r="N12" s="121">
        <f t="shared" si="0"/>
        <v>2000000</v>
      </c>
    </row>
    <row r="13" spans="1:14" ht="15.75" customHeight="1">
      <c r="A13" s="43" t="s">
        <v>145</v>
      </c>
      <c r="B13" s="117">
        <f>797100+6830+48602+4500+59616+9000+519700.4+43907113.35</f>
        <v>45352461.75</v>
      </c>
      <c r="C13" s="27" t="s">
        <v>47</v>
      </c>
      <c r="D13" s="54" t="s">
        <v>55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1">
        <f t="shared" si="0"/>
        <v>0</v>
      </c>
    </row>
    <row r="14" spans="1:14" ht="23.25" customHeight="1">
      <c r="A14" s="124" t="s">
        <v>146</v>
      </c>
      <c r="B14" s="116">
        <v>41306915.16</v>
      </c>
      <c r="C14" s="27" t="s">
        <v>51</v>
      </c>
      <c r="D14" s="54" t="s">
        <v>57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1">
        <f t="shared" si="0"/>
        <v>0</v>
      </c>
    </row>
    <row r="15" spans="1:14" ht="25.5" customHeight="1">
      <c r="A15" s="124" t="s">
        <v>126</v>
      </c>
      <c r="B15" s="116">
        <v>1878104.4</v>
      </c>
      <c r="C15" s="27" t="s">
        <v>51</v>
      </c>
      <c r="D15" s="55" t="s">
        <v>59</v>
      </c>
      <c r="E15" s="120"/>
      <c r="F15" s="120"/>
      <c r="G15" s="120">
        <v>945486</v>
      </c>
      <c r="H15" s="120"/>
      <c r="I15" s="120"/>
      <c r="J15" s="120">
        <v>319400</v>
      </c>
      <c r="K15" s="120"/>
      <c r="L15" s="120"/>
      <c r="M15" s="120"/>
      <c r="N15" s="121">
        <f t="shared" si="0"/>
        <v>1264886</v>
      </c>
    </row>
    <row r="16" spans="1:14" ht="15">
      <c r="A16" s="47"/>
      <c r="B16" s="116"/>
      <c r="C16" s="27" t="s">
        <v>60</v>
      </c>
      <c r="D16" s="55" t="s">
        <v>61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1">
        <f t="shared" si="0"/>
        <v>0</v>
      </c>
    </row>
    <row r="17" spans="1:14" ht="15">
      <c r="A17" s="46"/>
      <c r="B17" s="116"/>
      <c r="C17" s="27" t="s">
        <v>62</v>
      </c>
      <c r="D17" s="55" t="s">
        <v>63</v>
      </c>
      <c r="E17" s="120"/>
      <c r="F17" s="120"/>
      <c r="G17" s="120">
        <v>317701</v>
      </c>
      <c r="H17" s="120"/>
      <c r="I17" s="120"/>
      <c r="J17" s="120"/>
      <c r="K17" s="120"/>
      <c r="L17" s="120"/>
      <c r="M17" s="120"/>
      <c r="N17" s="121">
        <f t="shared" si="0"/>
        <v>317701</v>
      </c>
    </row>
    <row r="18" spans="1:14" ht="15">
      <c r="A18" s="47"/>
      <c r="B18" s="116"/>
      <c r="C18" s="27" t="s">
        <v>64</v>
      </c>
      <c r="D18" s="54" t="s">
        <v>36</v>
      </c>
      <c r="E18" s="120"/>
      <c r="F18" s="120"/>
      <c r="G18" s="120">
        <v>68104</v>
      </c>
      <c r="H18" s="120"/>
      <c r="I18" s="120"/>
      <c r="J18" s="120"/>
      <c r="K18" s="120"/>
      <c r="L18" s="120"/>
      <c r="M18" s="120"/>
      <c r="N18" s="121">
        <f t="shared" si="0"/>
        <v>68104</v>
      </c>
    </row>
    <row r="19" spans="1:14" ht="15">
      <c r="A19" s="43"/>
      <c r="B19" s="116"/>
      <c r="C19" s="27" t="s">
        <v>65</v>
      </c>
      <c r="D19" s="54" t="s">
        <v>66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1">
        <f t="shared" si="0"/>
        <v>0</v>
      </c>
    </row>
    <row r="20" spans="1:14" ht="15">
      <c r="A20" s="43"/>
      <c r="B20" s="116"/>
      <c r="C20" s="27" t="s">
        <v>67</v>
      </c>
      <c r="D20" s="54" t="s">
        <v>68</v>
      </c>
      <c r="E20" s="120"/>
      <c r="F20" s="120"/>
      <c r="G20" s="120"/>
      <c r="H20" s="120"/>
      <c r="I20" s="120"/>
      <c r="J20" s="120"/>
      <c r="K20" s="120"/>
      <c r="L20" s="120"/>
      <c r="M20" s="120">
        <v>50059.5</v>
      </c>
      <c r="N20" s="121">
        <f t="shared" si="0"/>
        <v>50059.5</v>
      </c>
    </row>
    <row r="21" spans="1:14" ht="15">
      <c r="A21" s="46" t="s">
        <v>69</v>
      </c>
      <c r="B21" s="116"/>
      <c r="C21" s="27" t="s">
        <v>65</v>
      </c>
      <c r="D21" s="54" t="s">
        <v>70</v>
      </c>
      <c r="E21" s="120"/>
      <c r="F21" s="120"/>
      <c r="G21" s="120">
        <v>1600000</v>
      </c>
      <c r="H21" s="120"/>
      <c r="I21" s="120"/>
      <c r="J21" s="120"/>
      <c r="K21" s="120"/>
      <c r="L21" s="120"/>
      <c r="M21" s="120"/>
      <c r="N21" s="121">
        <f t="shared" si="0"/>
        <v>1600000</v>
      </c>
    </row>
    <row r="22" spans="1:14" ht="15">
      <c r="A22" s="46"/>
      <c r="B22" s="116"/>
      <c r="C22" s="27" t="s">
        <v>67</v>
      </c>
      <c r="D22" s="54" t="s">
        <v>129</v>
      </c>
      <c r="E22" s="120"/>
      <c r="F22" s="120"/>
      <c r="G22" s="120">
        <v>200</v>
      </c>
      <c r="H22" s="120"/>
      <c r="I22" s="120"/>
      <c r="J22" s="120"/>
      <c r="K22" s="120"/>
      <c r="L22" s="120"/>
      <c r="M22" s="120"/>
      <c r="N22" s="121">
        <f t="shared" si="0"/>
        <v>200</v>
      </c>
    </row>
    <row r="23" spans="1:14" ht="15">
      <c r="A23" s="46"/>
      <c r="B23" s="116"/>
      <c r="C23" s="27" t="s">
        <v>71</v>
      </c>
      <c r="D23" s="54" t="s">
        <v>72</v>
      </c>
      <c r="E23" s="120"/>
      <c r="F23" s="120"/>
      <c r="G23" s="120">
        <f>1520000+100000</f>
        <v>1620000</v>
      </c>
      <c r="H23" s="120"/>
      <c r="I23" s="120"/>
      <c r="J23" s="120"/>
      <c r="K23" s="120"/>
      <c r="L23" s="120"/>
      <c r="M23" s="120">
        <v>137000</v>
      </c>
      <c r="N23" s="121">
        <f t="shared" si="0"/>
        <v>1757000</v>
      </c>
    </row>
    <row r="24" spans="1:14" ht="15">
      <c r="A24" s="46"/>
      <c r="B24" s="116"/>
      <c r="C24" s="27" t="s">
        <v>73</v>
      </c>
      <c r="D24" s="54" t="s">
        <v>74</v>
      </c>
      <c r="E24" s="120"/>
      <c r="F24" s="120"/>
      <c r="G24" s="120">
        <v>6238</v>
      </c>
      <c r="H24" s="120"/>
      <c r="I24" s="120"/>
      <c r="J24" s="120"/>
      <c r="K24" s="120"/>
      <c r="L24" s="120"/>
      <c r="M24" s="120"/>
      <c r="N24" s="121">
        <f t="shared" si="0"/>
        <v>6238</v>
      </c>
    </row>
    <row r="25" spans="1:14" ht="15">
      <c r="A25" s="46"/>
      <c r="B25" s="116"/>
      <c r="C25" s="27" t="s">
        <v>71</v>
      </c>
      <c r="D25" s="54" t="s">
        <v>9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1">
        <f t="shared" si="0"/>
        <v>0</v>
      </c>
    </row>
    <row r="26" spans="1:14" ht="15">
      <c r="A26" s="46"/>
      <c r="B26" s="116"/>
      <c r="C26" s="27" t="s">
        <v>47</v>
      </c>
      <c r="D26" s="54" t="s">
        <v>11</v>
      </c>
      <c r="E26" s="120"/>
      <c r="F26" s="120"/>
      <c r="G26" s="120"/>
      <c r="H26" s="120"/>
      <c r="I26" s="120"/>
      <c r="J26" s="120"/>
      <c r="K26" s="120"/>
      <c r="L26" s="120"/>
      <c r="M26" s="120">
        <f>450000+3500</f>
        <v>453500</v>
      </c>
      <c r="N26" s="121">
        <f t="shared" si="0"/>
        <v>453500</v>
      </c>
    </row>
    <row r="27" spans="1:14" ht="15">
      <c r="A27" s="46"/>
      <c r="B27" s="116"/>
      <c r="C27" s="27" t="s">
        <v>71</v>
      </c>
      <c r="D27" s="54" t="s">
        <v>75</v>
      </c>
      <c r="E27" s="120"/>
      <c r="F27" s="120"/>
      <c r="G27" s="120"/>
      <c r="H27" s="120"/>
      <c r="I27" s="120"/>
      <c r="J27" s="120"/>
      <c r="K27" s="120"/>
      <c r="L27" s="120"/>
      <c r="M27" s="120">
        <v>331850</v>
      </c>
      <c r="N27" s="121">
        <f t="shared" si="0"/>
        <v>331850</v>
      </c>
    </row>
    <row r="28" spans="1:14" ht="15">
      <c r="A28" s="46"/>
      <c r="B28" s="116"/>
      <c r="C28" s="27" t="s">
        <v>52</v>
      </c>
      <c r="D28" s="54" t="s">
        <v>76</v>
      </c>
      <c r="E28" s="120"/>
      <c r="F28" s="120"/>
      <c r="G28" s="120">
        <v>3011000</v>
      </c>
      <c r="H28" s="120"/>
      <c r="I28" s="120"/>
      <c r="J28" s="120"/>
      <c r="K28" s="120"/>
      <c r="L28" s="120"/>
      <c r="M28" s="120">
        <v>32000</v>
      </c>
      <c r="N28" s="121">
        <f t="shared" si="0"/>
        <v>3043000</v>
      </c>
    </row>
    <row r="29" spans="1:14" ht="15">
      <c r="A29" s="48"/>
      <c r="B29" s="117"/>
      <c r="C29" s="27" t="s">
        <v>52</v>
      </c>
      <c r="D29" s="54" t="s">
        <v>81</v>
      </c>
      <c r="E29" s="120"/>
      <c r="F29" s="120"/>
      <c r="G29" s="120">
        <v>2695564</v>
      </c>
      <c r="H29" s="120"/>
      <c r="I29" s="120"/>
      <c r="J29" s="120"/>
      <c r="K29" s="120"/>
      <c r="L29" s="120"/>
      <c r="M29" s="120"/>
      <c r="N29" s="121">
        <f t="shared" si="0"/>
        <v>2695564</v>
      </c>
    </row>
    <row r="30" spans="1:14" ht="15">
      <c r="A30" s="48"/>
      <c r="B30" s="117"/>
      <c r="C30" s="27" t="s">
        <v>83</v>
      </c>
      <c r="D30" s="54" t="s">
        <v>85</v>
      </c>
      <c r="E30" s="120"/>
      <c r="F30" s="120"/>
      <c r="G30" s="120"/>
      <c r="H30" s="120"/>
      <c r="I30" s="120"/>
      <c r="J30" s="120">
        <v>120000</v>
      </c>
      <c r="K30" s="120"/>
      <c r="L30" s="120"/>
      <c r="M30" s="120"/>
      <c r="N30" s="121">
        <f t="shared" si="0"/>
        <v>120000</v>
      </c>
    </row>
    <row r="31" spans="1:14" ht="15">
      <c r="A31" s="48"/>
      <c r="B31" s="117"/>
      <c r="C31" s="27" t="s">
        <v>87</v>
      </c>
      <c r="D31" s="54" t="s">
        <v>37</v>
      </c>
      <c r="E31" s="120"/>
      <c r="F31" s="120"/>
      <c r="G31" s="120">
        <v>65478</v>
      </c>
      <c r="H31" s="120"/>
      <c r="I31" s="120"/>
      <c r="J31" s="120"/>
      <c r="K31" s="120"/>
      <c r="L31" s="120"/>
      <c r="M31" s="120"/>
      <c r="N31" s="121">
        <f t="shared" si="0"/>
        <v>65478</v>
      </c>
    </row>
    <row r="32" spans="1:14" ht="15">
      <c r="A32" s="48"/>
      <c r="B32" s="117"/>
      <c r="C32" s="27" t="s">
        <v>119</v>
      </c>
      <c r="D32" s="54" t="s">
        <v>130</v>
      </c>
      <c r="E32" s="120"/>
      <c r="F32" s="120"/>
      <c r="G32" s="120">
        <v>5024</v>
      </c>
      <c r="H32" s="120"/>
      <c r="I32" s="120"/>
      <c r="J32" s="120"/>
      <c r="K32" s="120"/>
      <c r="L32" s="120"/>
      <c r="M32" s="120"/>
      <c r="N32" s="121">
        <f t="shared" si="0"/>
        <v>5024</v>
      </c>
    </row>
    <row r="33" spans="1:14" ht="15">
      <c r="A33" s="48"/>
      <c r="B33" s="117"/>
      <c r="C33" s="27" t="s">
        <v>87</v>
      </c>
      <c r="D33" s="54" t="s">
        <v>88</v>
      </c>
      <c r="E33" s="120"/>
      <c r="F33" s="120"/>
      <c r="G33" s="120">
        <v>200104</v>
      </c>
      <c r="H33" s="120"/>
      <c r="I33" s="120"/>
      <c r="J33" s="120"/>
      <c r="K33" s="120"/>
      <c r="L33" s="120"/>
      <c r="M33" s="120"/>
      <c r="N33" s="121">
        <f t="shared" si="0"/>
        <v>200104</v>
      </c>
    </row>
    <row r="34" spans="1:14" ht="15">
      <c r="A34" s="48"/>
      <c r="B34" s="117"/>
      <c r="C34" s="27" t="s">
        <v>87</v>
      </c>
      <c r="D34" s="54" t="s">
        <v>120</v>
      </c>
      <c r="E34" s="120"/>
      <c r="F34" s="120"/>
      <c r="G34" s="120">
        <v>900</v>
      </c>
      <c r="H34" s="120"/>
      <c r="I34" s="120"/>
      <c r="J34" s="120"/>
      <c r="K34" s="120"/>
      <c r="L34" s="120"/>
      <c r="M34" s="120"/>
      <c r="N34" s="121">
        <f t="shared" si="0"/>
        <v>900</v>
      </c>
    </row>
    <row r="35" spans="1:14" ht="15.75" thickBot="1">
      <c r="A35" s="23"/>
      <c r="B35" s="210"/>
      <c r="C35" s="56" t="s">
        <v>119</v>
      </c>
      <c r="D35" s="57" t="s">
        <v>120</v>
      </c>
      <c r="E35" s="211"/>
      <c r="F35" s="211"/>
      <c r="G35" s="211">
        <v>186656.67</v>
      </c>
      <c r="H35" s="211"/>
      <c r="I35" s="211"/>
      <c r="J35" s="211"/>
      <c r="K35" s="211"/>
      <c r="L35" s="211"/>
      <c r="M35" s="211"/>
      <c r="N35" s="212">
        <f t="shared" si="0"/>
        <v>186656.67</v>
      </c>
    </row>
    <row r="36" spans="1:14" ht="15.75" thickBot="1">
      <c r="A36" s="201" t="s">
        <v>89</v>
      </c>
      <c r="B36" s="207">
        <f>SUM(B6:B30)</f>
        <v>88665757.08000001</v>
      </c>
      <c r="C36" s="203"/>
      <c r="D36" s="204" t="s">
        <v>90</v>
      </c>
      <c r="E36" s="208">
        <f aca="true" t="shared" si="1" ref="E36:N36">SUM(E6:E35)</f>
        <v>200055</v>
      </c>
      <c r="F36" s="208">
        <f t="shared" si="1"/>
        <v>26985</v>
      </c>
      <c r="G36" s="208">
        <f t="shared" si="1"/>
        <v>14086358.67</v>
      </c>
      <c r="H36" s="208">
        <f t="shared" si="1"/>
        <v>0</v>
      </c>
      <c r="I36" s="208">
        <f t="shared" si="1"/>
        <v>4713000</v>
      </c>
      <c r="J36" s="208">
        <f t="shared" si="1"/>
        <v>459400</v>
      </c>
      <c r="K36" s="208">
        <f t="shared" si="1"/>
        <v>0</v>
      </c>
      <c r="L36" s="208">
        <f t="shared" si="1"/>
        <v>5300000</v>
      </c>
      <c r="M36" s="208">
        <f t="shared" si="1"/>
        <v>63879958.41</v>
      </c>
      <c r="N36" s="209">
        <f t="shared" si="1"/>
        <v>88665757.08</v>
      </c>
    </row>
    <row r="37" spans="1:14" ht="15">
      <c r="A37" s="113" t="s">
        <v>31</v>
      </c>
      <c r="B37" s="130"/>
      <c r="C37" s="130"/>
      <c r="D37" s="130"/>
      <c r="E37" s="130"/>
      <c r="F37" s="130"/>
      <c r="G37" s="130"/>
      <c r="H37" s="130"/>
      <c r="I37" s="130" t="s">
        <v>32</v>
      </c>
      <c r="J37" s="130"/>
      <c r="K37" s="130"/>
      <c r="L37" s="130"/>
      <c r="M37" s="131"/>
      <c r="N37" s="131"/>
    </row>
    <row r="38" spans="1:14" ht="15">
      <c r="A38" s="132" t="s">
        <v>33</v>
      </c>
      <c r="B38" s="132"/>
      <c r="C38" s="132"/>
      <c r="D38" s="132"/>
      <c r="E38" s="132"/>
      <c r="F38" s="132"/>
      <c r="G38" s="132"/>
      <c r="H38" s="132"/>
      <c r="I38" s="132" t="s">
        <v>34</v>
      </c>
      <c r="J38" s="132"/>
      <c r="K38" s="132"/>
      <c r="L38" s="133"/>
      <c r="M38" s="133"/>
      <c r="N38" s="133"/>
    </row>
  </sheetData>
  <sheetProtection/>
  <mergeCells count="16">
    <mergeCell ref="A2:B2"/>
    <mergeCell ref="C2:N2"/>
    <mergeCell ref="A3:A4"/>
    <mergeCell ref="B3:B4"/>
    <mergeCell ref="E3:G3"/>
    <mergeCell ref="I3:N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2" right="0.26" top="0.17" bottom="0.17" header="0.17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0">
      <selection activeCell="K33" sqref="K33"/>
    </sheetView>
  </sheetViews>
  <sheetFormatPr defaultColWidth="9.140625" defaultRowHeight="15"/>
  <cols>
    <col min="1" max="1" width="23.57421875" style="0" customWidth="1"/>
    <col min="2" max="2" width="7.421875" style="0" customWidth="1"/>
    <col min="4" max="4" width="14.8515625" style="0" customWidth="1"/>
    <col min="5" max="5" width="6.8515625" style="0" customWidth="1"/>
    <col min="6" max="6" width="7.28125" style="0" customWidth="1"/>
    <col min="7" max="7" width="7.140625" style="0" customWidth="1"/>
    <col min="8" max="8" width="6.7109375" style="0" customWidth="1"/>
    <col min="9" max="9" width="7.421875" style="0" customWidth="1"/>
    <col min="10" max="12" width="7.140625" style="0" customWidth="1"/>
    <col min="13" max="13" width="8.00390625" style="0" customWidth="1"/>
    <col min="14" max="14" width="7.57421875" style="0" customWidth="1"/>
  </cols>
  <sheetData>
    <row r="1" spans="1:3" ht="15.75" thickBot="1">
      <c r="A1" s="4" t="s">
        <v>141</v>
      </c>
      <c r="C1" s="4" t="s">
        <v>97</v>
      </c>
    </row>
    <row r="2" spans="1:14" ht="15">
      <c r="A2" s="278" t="s">
        <v>40</v>
      </c>
      <c r="B2" s="279"/>
      <c r="C2" s="280" t="s">
        <v>41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5">
      <c r="A3" s="259" t="s">
        <v>42</v>
      </c>
      <c r="B3" s="271" t="s">
        <v>43</v>
      </c>
      <c r="C3" s="21" t="s">
        <v>44</v>
      </c>
      <c r="D3" s="21" t="s">
        <v>45</v>
      </c>
      <c r="E3" s="275"/>
      <c r="F3" s="275"/>
      <c r="G3" s="275"/>
      <c r="H3" s="22"/>
      <c r="I3" s="276"/>
      <c r="J3" s="276"/>
      <c r="K3" s="276"/>
      <c r="L3" s="276"/>
      <c r="M3" s="276"/>
      <c r="N3" s="277"/>
    </row>
    <row r="4" spans="1:14" ht="15">
      <c r="A4" s="259"/>
      <c r="B4" s="271"/>
      <c r="C4" s="21" t="s">
        <v>46</v>
      </c>
      <c r="D4" s="21"/>
      <c r="E4" s="271">
        <v>6000000</v>
      </c>
      <c r="F4" s="271">
        <v>6010000</v>
      </c>
      <c r="G4" s="271">
        <v>6020000</v>
      </c>
      <c r="H4" s="271">
        <v>6030000</v>
      </c>
      <c r="I4" s="271">
        <v>6040000</v>
      </c>
      <c r="J4" s="271">
        <v>6060000</v>
      </c>
      <c r="K4" s="271">
        <v>6090000</v>
      </c>
      <c r="L4" s="271">
        <v>2300000</v>
      </c>
      <c r="M4" s="271">
        <v>2310000</v>
      </c>
      <c r="N4" s="260" t="s">
        <v>27</v>
      </c>
    </row>
    <row r="5" spans="1:14" ht="15.75" thickBot="1">
      <c r="A5" s="126"/>
      <c r="B5" s="200"/>
      <c r="C5" s="200"/>
      <c r="D5" s="200"/>
      <c r="E5" s="272"/>
      <c r="F5" s="272"/>
      <c r="G5" s="272"/>
      <c r="H5" s="272"/>
      <c r="I5" s="272"/>
      <c r="J5" s="272"/>
      <c r="K5" s="272"/>
      <c r="L5" s="272"/>
      <c r="M5" s="272"/>
      <c r="N5" s="273"/>
    </row>
    <row r="6" spans="1:14" ht="15">
      <c r="A6" s="39"/>
      <c r="B6" s="40"/>
      <c r="C6" s="52" t="s">
        <v>47</v>
      </c>
      <c r="D6" s="53" t="s">
        <v>48</v>
      </c>
      <c r="E6" s="41">
        <f>'Analiza 2010'!E21</f>
        <v>78882</v>
      </c>
      <c r="F6" s="41">
        <f>'Analiza 2010'!H21</f>
        <v>12590</v>
      </c>
      <c r="G6" s="41">
        <f>'Analiza 2010'!K21</f>
        <v>48581</v>
      </c>
      <c r="H6" s="41">
        <f>'Analiza 2010'!N21</f>
        <v>0</v>
      </c>
      <c r="I6" s="41">
        <f>'Analiza 2010'!Q21</f>
        <v>11080</v>
      </c>
      <c r="J6" s="41">
        <f>'Analiza 2010'!T21</f>
        <v>660</v>
      </c>
      <c r="K6" s="41"/>
      <c r="L6" s="41">
        <f>'Analiza 2010'!Z21</f>
        <v>0</v>
      </c>
      <c r="M6" s="41">
        <f>'Analiza 2010'!AC21</f>
        <v>2170</v>
      </c>
      <c r="N6" s="42">
        <f>SUM(E6:M6)</f>
        <v>153963</v>
      </c>
    </row>
    <row r="7" spans="1:14" ht="15">
      <c r="A7" s="43"/>
      <c r="B7" s="25"/>
      <c r="C7" s="27" t="s">
        <v>47</v>
      </c>
      <c r="D7" s="54" t="s">
        <v>100</v>
      </c>
      <c r="E7" s="26"/>
      <c r="F7" s="26"/>
      <c r="G7" s="26">
        <f>'Analiza 2010'!K22</f>
        <v>3057</v>
      </c>
      <c r="H7" s="26"/>
      <c r="I7" s="26"/>
      <c r="J7" s="26"/>
      <c r="K7" s="26"/>
      <c r="L7" s="26"/>
      <c r="M7" s="26"/>
      <c r="N7" s="44">
        <f>SUM(E7:M7)</f>
        <v>3057</v>
      </c>
    </row>
    <row r="8" spans="1:14" ht="15">
      <c r="A8" s="43" t="s">
        <v>69</v>
      </c>
      <c r="B8" s="25"/>
      <c r="C8" s="27" t="s">
        <v>49</v>
      </c>
      <c r="D8" s="54" t="s">
        <v>50</v>
      </c>
      <c r="E8" s="26"/>
      <c r="F8" s="26"/>
      <c r="G8" s="26"/>
      <c r="H8" s="26"/>
      <c r="I8" s="26"/>
      <c r="J8" s="26"/>
      <c r="K8" s="26"/>
      <c r="L8" s="26"/>
      <c r="M8" s="26"/>
      <c r="N8" s="44">
        <f>SUM(E8:M8)</f>
        <v>0</v>
      </c>
    </row>
    <row r="9" spans="1:14" ht="15">
      <c r="A9" s="43"/>
      <c r="B9" s="25"/>
      <c r="C9" s="27" t="s">
        <v>49</v>
      </c>
      <c r="D9" s="54" t="s">
        <v>91</v>
      </c>
      <c r="E9" s="26"/>
      <c r="F9" s="26"/>
      <c r="G9" s="26"/>
      <c r="H9" s="26"/>
      <c r="I9" s="26"/>
      <c r="J9" s="26"/>
      <c r="K9" s="26"/>
      <c r="L9" s="26"/>
      <c r="M9" s="26">
        <f>117161-33694-400</f>
        <v>83067</v>
      </c>
      <c r="N9" s="44">
        <f>SUM(E9:M9)</f>
        <v>83067</v>
      </c>
    </row>
    <row r="10" spans="1:14" ht="15">
      <c r="A10" s="43"/>
      <c r="B10" s="25"/>
      <c r="C10" s="27" t="s">
        <v>60</v>
      </c>
      <c r="D10" s="54" t="s">
        <v>53</v>
      </c>
      <c r="E10" s="26"/>
      <c r="F10" s="26"/>
      <c r="G10" s="26"/>
      <c r="H10" s="26"/>
      <c r="I10" s="26"/>
      <c r="J10" s="26"/>
      <c r="K10" s="26"/>
      <c r="L10" s="26"/>
      <c r="M10" s="26"/>
      <c r="N10" s="44">
        <f>SUM(E10:M10)</f>
        <v>0</v>
      </c>
    </row>
    <row r="11" spans="1:14" ht="15">
      <c r="A11" s="43"/>
      <c r="B11" s="25"/>
      <c r="C11" s="27" t="s">
        <v>49</v>
      </c>
      <c r="D11" s="54" t="s">
        <v>92</v>
      </c>
      <c r="E11" s="27"/>
      <c r="F11" s="27"/>
      <c r="G11" s="27"/>
      <c r="H11" s="26"/>
      <c r="I11" s="26"/>
      <c r="J11" s="26"/>
      <c r="K11" s="26"/>
      <c r="L11" s="26"/>
      <c r="M11" s="26"/>
      <c r="N11" s="44">
        <f aca="true" t="shared" si="0" ref="N11:N38">SUM(E11:M11)</f>
        <v>0</v>
      </c>
    </row>
    <row r="12" spans="1:14" ht="15">
      <c r="A12" s="43"/>
      <c r="B12" s="28"/>
      <c r="C12" s="27" t="s">
        <v>52</v>
      </c>
      <c r="D12" s="54" t="s">
        <v>48</v>
      </c>
      <c r="E12" s="27"/>
      <c r="F12" s="27"/>
      <c r="G12" s="27"/>
      <c r="H12" s="26"/>
      <c r="I12" s="26"/>
      <c r="J12" s="26"/>
      <c r="K12" s="26"/>
      <c r="L12" s="26"/>
      <c r="M12" s="26">
        <f>'Analiza 2010'!AC28</f>
        <v>0</v>
      </c>
      <c r="N12" s="44">
        <f t="shared" si="0"/>
        <v>0</v>
      </c>
    </row>
    <row r="13" spans="1:14" ht="15.75" customHeight="1">
      <c r="A13" s="43" t="s">
        <v>54</v>
      </c>
      <c r="B13" s="25">
        <v>17272</v>
      </c>
      <c r="C13" s="27" t="s">
        <v>47</v>
      </c>
      <c r="D13" s="54" t="s">
        <v>55</v>
      </c>
      <c r="E13" s="27"/>
      <c r="F13" s="27"/>
      <c r="G13" s="26">
        <f>'Analiza 2010'!K30</f>
        <v>4830</v>
      </c>
      <c r="H13" s="26"/>
      <c r="I13" s="26"/>
      <c r="J13" s="26"/>
      <c r="K13" s="26"/>
      <c r="L13" s="26"/>
      <c r="M13" s="26"/>
      <c r="N13" s="44">
        <f t="shared" si="0"/>
        <v>4830</v>
      </c>
    </row>
    <row r="14" spans="1:14" ht="15.75" customHeight="1">
      <c r="A14" s="45" t="s">
        <v>98</v>
      </c>
      <c r="B14" s="28">
        <f>397046+3000+3000</f>
        <v>403046</v>
      </c>
      <c r="C14" s="27" t="s">
        <v>51</v>
      </c>
      <c r="D14" s="54" t="s">
        <v>57</v>
      </c>
      <c r="E14" s="26">
        <f>'Analiza 2010'!E6</f>
        <v>4057</v>
      </c>
      <c r="F14" s="26">
        <f>'Analiza 2010'!H6</f>
        <v>646</v>
      </c>
      <c r="G14" s="26">
        <f>'Analiza 2010'!K6</f>
        <v>1510</v>
      </c>
      <c r="H14" s="26"/>
      <c r="I14" s="26"/>
      <c r="J14" s="26"/>
      <c r="K14" s="26"/>
      <c r="L14" s="26"/>
      <c r="M14" s="26">
        <f>'Analiza 2010'!AC6</f>
        <v>0</v>
      </c>
      <c r="N14" s="44">
        <f t="shared" si="0"/>
        <v>6213</v>
      </c>
    </row>
    <row r="15" spans="1:14" ht="15" customHeight="1">
      <c r="A15" s="45" t="s">
        <v>58</v>
      </c>
      <c r="B15" s="28">
        <v>172460</v>
      </c>
      <c r="C15" s="27" t="s">
        <v>51</v>
      </c>
      <c r="D15" s="55" t="s">
        <v>59</v>
      </c>
      <c r="E15" s="26">
        <f>'Analiza 2010'!E7</f>
        <v>8505</v>
      </c>
      <c r="F15" s="26">
        <f>'Analiza 2010'!H7</f>
        <v>1353</v>
      </c>
      <c r="G15" s="26">
        <f>'Analiza 2010'!K7</f>
        <v>31550</v>
      </c>
      <c r="H15" s="26"/>
      <c r="I15" s="26"/>
      <c r="J15" s="26">
        <f>'Analiza 2010'!T7</f>
        <v>0</v>
      </c>
      <c r="K15" s="26"/>
      <c r="L15" s="26"/>
      <c r="M15" s="26">
        <f>'Analiza 2010'!AC7</f>
        <v>980</v>
      </c>
      <c r="N15" s="44">
        <f t="shared" si="0"/>
        <v>42388</v>
      </c>
    </row>
    <row r="16" spans="1:14" ht="15">
      <c r="A16" s="47" t="s">
        <v>93</v>
      </c>
      <c r="B16" s="28">
        <v>23776</v>
      </c>
      <c r="C16" s="27" t="s">
        <v>60</v>
      </c>
      <c r="D16" s="55" t="s">
        <v>61</v>
      </c>
      <c r="E16" s="26"/>
      <c r="F16" s="26"/>
      <c r="G16" s="26"/>
      <c r="H16" s="26"/>
      <c r="I16" s="26"/>
      <c r="J16" s="26"/>
      <c r="K16" s="26"/>
      <c r="L16" s="26"/>
      <c r="M16" s="26"/>
      <c r="N16" s="44">
        <f t="shared" si="0"/>
        <v>0</v>
      </c>
    </row>
    <row r="17" spans="1:14" ht="15">
      <c r="A17" s="46"/>
      <c r="B17" s="28"/>
      <c r="C17" s="27" t="s">
        <v>62</v>
      </c>
      <c r="D17" s="55" t="s">
        <v>63</v>
      </c>
      <c r="E17" s="26"/>
      <c r="F17" s="27"/>
      <c r="G17" s="26">
        <f>'Analiza 2010'!K8</f>
        <v>7200</v>
      </c>
      <c r="H17" s="26"/>
      <c r="I17" s="26"/>
      <c r="J17" s="26"/>
      <c r="K17" s="26"/>
      <c r="L17" s="26"/>
      <c r="M17" s="26">
        <f>'Analiza 2010'!AC8</f>
        <v>200</v>
      </c>
      <c r="N17" s="44">
        <f t="shared" si="0"/>
        <v>7400</v>
      </c>
    </row>
    <row r="18" spans="1:14" ht="15">
      <c r="A18" s="47"/>
      <c r="B18" s="28"/>
      <c r="C18" s="27" t="s">
        <v>64</v>
      </c>
      <c r="D18" s="54" t="s">
        <v>36</v>
      </c>
      <c r="E18" s="26">
        <f>'Analiza 2010'!E9</f>
        <v>10815</v>
      </c>
      <c r="F18" s="26">
        <f>'Analiza 2010'!H9</f>
        <v>1720</v>
      </c>
      <c r="G18" s="26">
        <f>'Analiza 2010'!K9</f>
        <v>13800</v>
      </c>
      <c r="H18" s="26"/>
      <c r="I18" s="26"/>
      <c r="J18" s="26"/>
      <c r="K18" s="26"/>
      <c r="L18" s="26"/>
      <c r="M18" s="26">
        <f>'Analiza 2010'!AC9</f>
        <v>200</v>
      </c>
      <c r="N18" s="44">
        <f t="shared" si="0"/>
        <v>26535</v>
      </c>
    </row>
    <row r="19" spans="1:14" ht="15">
      <c r="A19" s="43"/>
      <c r="B19" s="28"/>
      <c r="C19" s="27" t="s">
        <v>65</v>
      </c>
      <c r="D19" s="54" t="s">
        <v>66</v>
      </c>
      <c r="E19" s="26">
        <f>'Analiza 2010'!E10</f>
        <v>6174</v>
      </c>
      <c r="F19" s="26">
        <f>'Analiza 2010'!H10</f>
        <v>982</v>
      </c>
      <c r="G19" s="26">
        <f>'Analiza 2010'!K10</f>
        <v>12382</v>
      </c>
      <c r="H19" s="26"/>
      <c r="I19" s="26"/>
      <c r="J19" s="26"/>
      <c r="K19" s="26"/>
      <c r="L19" s="26"/>
      <c r="M19" s="26">
        <f>'Analiza 2010'!AC10</f>
        <v>0</v>
      </c>
      <c r="N19" s="44">
        <f t="shared" si="0"/>
        <v>19538</v>
      </c>
    </row>
    <row r="20" spans="1:14" ht="15">
      <c r="A20" s="43"/>
      <c r="B20" s="28"/>
      <c r="C20" s="27" t="s">
        <v>67</v>
      </c>
      <c r="D20" s="54" t="s">
        <v>68</v>
      </c>
      <c r="E20" s="26"/>
      <c r="F20" s="26"/>
      <c r="G20" s="26"/>
      <c r="H20" s="26"/>
      <c r="I20" s="26"/>
      <c r="J20" s="26"/>
      <c r="K20" s="26"/>
      <c r="L20" s="26"/>
      <c r="M20" s="26">
        <f>'Analiza 2010'!AC11</f>
        <v>600</v>
      </c>
      <c r="N20" s="44">
        <f t="shared" si="0"/>
        <v>600</v>
      </c>
    </row>
    <row r="21" spans="1:14" ht="15">
      <c r="A21" s="46" t="s">
        <v>69</v>
      </c>
      <c r="B21" s="28"/>
      <c r="C21" s="27" t="s">
        <v>65</v>
      </c>
      <c r="D21" s="54" t="s">
        <v>70</v>
      </c>
      <c r="E21" s="26">
        <f>'Analiza 2010'!E12</f>
        <v>3558</v>
      </c>
      <c r="F21" s="26">
        <f>'Analiza 2010'!H12</f>
        <v>568</v>
      </c>
      <c r="G21" s="26">
        <f>'Analiza 2010'!K12</f>
        <v>10330</v>
      </c>
      <c r="H21" s="26"/>
      <c r="I21" s="26"/>
      <c r="J21" s="26"/>
      <c r="K21" s="26"/>
      <c r="L21" s="26"/>
      <c r="M21" s="26">
        <f>'Analiza 2010'!AC12</f>
        <v>1400</v>
      </c>
      <c r="N21" s="44">
        <f t="shared" si="0"/>
        <v>15856</v>
      </c>
    </row>
    <row r="22" spans="1:14" ht="15">
      <c r="A22" s="46"/>
      <c r="B22" s="28"/>
      <c r="C22" s="27" t="s">
        <v>71</v>
      </c>
      <c r="D22" s="54" t="s">
        <v>72</v>
      </c>
      <c r="E22" s="26">
        <f>'Analiza 2010'!E13</f>
        <v>6256</v>
      </c>
      <c r="F22" s="26">
        <f>'Analiza 2010'!H13</f>
        <v>995</v>
      </c>
      <c r="G22" s="26">
        <f>'Analiza 2010'!K13+754</f>
        <v>16509</v>
      </c>
      <c r="H22" s="26"/>
      <c r="I22" s="26"/>
      <c r="J22" s="26"/>
      <c r="K22" s="26"/>
      <c r="L22" s="26"/>
      <c r="M22" s="26">
        <f>'Analiza 2010'!AC13</f>
        <v>630</v>
      </c>
      <c r="N22" s="44">
        <f t="shared" si="0"/>
        <v>24390</v>
      </c>
    </row>
    <row r="23" spans="1:14" ht="15">
      <c r="A23" s="46"/>
      <c r="B23" s="28"/>
      <c r="C23" s="27" t="s">
        <v>73</v>
      </c>
      <c r="D23" s="54" t="s">
        <v>74</v>
      </c>
      <c r="E23" s="26"/>
      <c r="F23" s="26"/>
      <c r="G23" s="26"/>
      <c r="H23" s="26"/>
      <c r="I23" s="26"/>
      <c r="J23" s="26"/>
      <c r="K23" s="26"/>
      <c r="L23" s="26"/>
      <c r="M23" s="26"/>
      <c r="N23" s="44">
        <f t="shared" si="0"/>
        <v>0</v>
      </c>
    </row>
    <row r="24" spans="1:14" ht="15">
      <c r="A24" s="46"/>
      <c r="B24" s="28"/>
      <c r="C24" s="27" t="s">
        <v>71</v>
      </c>
      <c r="D24" s="54" t="s">
        <v>9</v>
      </c>
      <c r="E24" s="26">
        <f>'Analiza 2010'!E15</f>
        <v>10586</v>
      </c>
      <c r="F24" s="26">
        <f>'Analiza 2010'!H15</f>
        <v>1690</v>
      </c>
      <c r="G24" s="26">
        <f>'Analiza 2010'!K15</f>
        <v>9679</v>
      </c>
      <c r="H24" s="26"/>
      <c r="I24" s="26"/>
      <c r="J24" s="26"/>
      <c r="K24" s="26"/>
      <c r="L24" s="26"/>
      <c r="M24" s="26">
        <f>'Analiza 2010'!AC15</f>
        <v>0</v>
      </c>
      <c r="N24" s="44">
        <f t="shared" si="0"/>
        <v>21955</v>
      </c>
    </row>
    <row r="25" spans="1:14" ht="15">
      <c r="A25" s="46"/>
      <c r="B25" s="28"/>
      <c r="C25" s="27" t="s">
        <v>47</v>
      </c>
      <c r="D25" s="54" t="s">
        <v>11</v>
      </c>
      <c r="E25" s="26">
        <v>1287</v>
      </c>
      <c r="F25" s="26">
        <v>215</v>
      </c>
      <c r="G25" s="26">
        <v>769</v>
      </c>
      <c r="H25" s="26"/>
      <c r="I25" s="26"/>
      <c r="J25" s="26"/>
      <c r="K25" s="26">
        <f>'Analiza 2010'!W18</f>
        <v>0</v>
      </c>
      <c r="L25" s="26"/>
      <c r="M25" s="26">
        <f>'Analiza 2010'!AC18</f>
        <v>10280</v>
      </c>
      <c r="N25" s="44">
        <f t="shared" si="0"/>
        <v>12551</v>
      </c>
    </row>
    <row r="26" spans="1:14" ht="15">
      <c r="A26" s="46"/>
      <c r="B26" s="28"/>
      <c r="C26" s="27" t="s">
        <v>71</v>
      </c>
      <c r="D26" s="54" t="s">
        <v>75</v>
      </c>
      <c r="E26" s="26">
        <f>'Analiza 2010'!E17</f>
        <v>5891</v>
      </c>
      <c r="F26" s="26">
        <f>'Analiza 2010'!H17</f>
        <v>937</v>
      </c>
      <c r="G26" s="26">
        <f>'Analiza 2010'!K17</f>
        <v>2275</v>
      </c>
      <c r="H26" s="26"/>
      <c r="I26" s="26"/>
      <c r="J26" s="26"/>
      <c r="K26" s="26"/>
      <c r="L26" s="26"/>
      <c r="M26" s="26">
        <f>'Analiza 2010'!AC17</f>
        <v>1100</v>
      </c>
      <c r="N26" s="44">
        <f t="shared" si="0"/>
        <v>10203</v>
      </c>
    </row>
    <row r="27" spans="1:14" ht="15">
      <c r="A27" s="46"/>
      <c r="B27" s="28"/>
      <c r="C27" s="27" t="s">
        <v>52</v>
      </c>
      <c r="D27" s="54" t="s">
        <v>76</v>
      </c>
      <c r="E27" s="26">
        <f>'Analiza 2010'!E19+1603</f>
        <v>38302</v>
      </c>
      <c r="F27" s="26">
        <f>'Analiza 2010'!H19+268</f>
        <v>5968</v>
      </c>
      <c r="G27" s="26">
        <f>'Analiza 2010'!K19</f>
        <v>53013</v>
      </c>
      <c r="H27" s="26"/>
      <c r="I27" s="26"/>
      <c r="J27" s="26"/>
      <c r="K27" s="26"/>
      <c r="L27" s="26"/>
      <c r="M27" s="26">
        <f>'Analiza 2010'!AC19</f>
        <v>4318</v>
      </c>
      <c r="N27" s="44">
        <f t="shared" si="0"/>
        <v>101601</v>
      </c>
    </row>
    <row r="28" spans="1:14" ht="15">
      <c r="A28" s="46"/>
      <c r="B28" s="28"/>
      <c r="C28" s="27" t="s">
        <v>77</v>
      </c>
      <c r="D28" s="54" t="s">
        <v>78</v>
      </c>
      <c r="E28" s="26"/>
      <c r="F28" s="26"/>
      <c r="G28" s="26"/>
      <c r="H28" s="26"/>
      <c r="I28" s="26"/>
      <c r="J28" s="26"/>
      <c r="K28" s="26"/>
      <c r="L28" s="26"/>
      <c r="M28" s="26"/>
      <c r="N28" s="44">
        <f t="shared" si="0"/>
        <v>0</v>
      </c>
    </row>
    <row r="29" spans="1:14" ht="15">
      <c r="A29" s="48"/>
      <c r="B29" s="28"/>
      <c r="C29" s="27" t="s">
        <v>79</v>
      </c>
      <c r="D29" s="54" t="s">
        <v>80</v>
      </c>
      <c r="E29" s="27"/>
      <c r="F29" s="27"/>
      <c r="G29" s="27"/>
      <c r="H29" s="26">
        <f>'Analiza 2010'!N31</f>
        <v>3500</v>
      </c>
      <c r="I29" s="26"/>
      <c r="J29" s="26"/>
      <c r="K29" s="26"/>
      <c r="L29" s="26"/>
      <c r="M29" s="26"/>
      <c r="N29" s="44">
        <f t="shared" si="0"/>
        <v>3500</v>
      </c>
    </row>
    <row r="30" spans="1:14" ht="15">
      <c r="A30" s="48"/>
      <c r="B30" s="25"/>
      <c r="C30" s="27" t="s">
        <v>52</v>
      </c>
      <c r="D30" s="54" t="s">
        <v>81</v>
      </c>
      <c r="E30" s="26">
        <f>'Analiza 2010'!E32</f>
        <v>496</v>
      </c>
      <c r="F30" s="26">
        <f>'Analiza 2010'!H32</f>
        <v>79</v>
      </c>
      <c r="G30" s="26">
        <f>'Analiza 2010'!K32</f>
        <v>59284</v>
      </c>
      <c r="H30" s="26"/>
      <c r="I30" s="26"/>
      <c r="J30" s="26"/>
      <c r="K30" s="26"/>
      <c r="L30" s="26"/>
      <c r="M30" s="26"/>
      <c r="N30" s="44">
        <f t="shared" si="0"/>
        <v>59859</v>
      </c>
    </row>
    <row r="31" spans="1:14" ht="15">
      <c r="A31" s="48"/>
      <c r="B31" s="25"/>
      <c r="C31" s="27" t="s">
        <v>52</v>
      </c>
      <c r="D31" s="54" t="s">
        <v>82</v>
      </c>
      <c r="E31" s="26"/>
      <c r="F31" s="26"/>
      <c r="G31" s="26">
        <f>'Analiza 2010'!K33</f>
        <v>4223</v>
      </c>
      <c r="H31" s="26"/>
      <c r="I31" s="26"/>
      <c r="J31" s="26"/>
      <c r="K31" s="26"/>
      <c r="L31" s="26"/>
      <c r="M31" s="26"/>
      <c r="N31" s="44">
        <f t="shared" si="0"/>
        <v>4223</v>
      </c>
    </row>
    <row r="32" spans="1:14" ht="15">
      <c r="A32" s="48"/>
      <c r="B32" s="25"/>
      <c r="C32" s="27" t="s">
        <v>83</v>
      </c>
      <c r="D32" s="54" t="s">
        <v>84</v>
      </c>
      <c r="E32" s="27"/>
      <c r="F32" s="27"/>
      <c r="G32" s="27"/>
      <c r="H32" s="26"/>
      <c r="I32" s="26"/>
      <c r="J32" s="26"/>
      <c r="K32" s="26">
        <f>'Analiza 2010'!W34</f>
        <v>3000</v>
      </c>
      <c r="L32" s="26"/>
      <c r="M32" s="26"/>
      <c r="N32" s="44">
        <f t="shared" si="0"/>
        <v>3000</v>
      </c>
    </row>
    <row r="33" spans="1:14" ht="15">
      <c r="A33" s="104">
        <f>B39-N39</f>
        <v>4000</v>
      </c>
      <c r="B33" s="25"/>
      <c r="C33" s="27" t="s">
        <v>83</v>
      </c>
      <c r="D33" s="54" t="s">
        <v>22</v>
      </c>
      <c r="E33" s="27"/>
      <c r="F33" s="27"/>
      <c r="G33" s="27"/>
      <c r="H33" s="26"/>
      <c r="I33" s="26"/>
      <c r="J33" s="26"/>
      <c r="K33" s="26"/>
      <c r="L33" s="26"/>
      <c r="M33" s="26"/>
      <c r="N33" s="44">
        <f t="shared" si="0"/>
        <v>0</v>
      </c>
    </row>
    <row r="34" spans="1:14" ht="15">
      <c r="A34" s="48"/>
      <c r="B34" s="25"/>
      <c r="C34" s="27" t="s">
        <v>83</v>
      </c>
      <c r="D34" s="54" t="s">
        <v>85</v>
      </c>
      <c r="E34" s="27"/>
      <c r="F34" s="27"/>
      <c r="G34" s="27"/>
      <c r="H34" s="26"/>
      <c r="I34" s="26"/>
      <c r="J34" s="26">
        <f>'Analiza 2010'!T36</f>
        <v>500</v>
      </c>
      <c r="K34" s="26"/>
      <c r="L34" s="26"/>
      <c r="M34" s="26"/>
      <c r="N34" s="44">
        <f t="shared" si="0"/>
        <v>500</v>
      </c>
    </row>
    <row r="35" spans="1:14" ht="15">
      <c r="A35" s="48"/>
      <c r="B35" s="25"/>
      <c r="C35" s="27" t="s">
        <v>47</v>
      </c>
      <c r="D35" s="54" t="s">
        <v>86</v>
      </c>
      <c r="E35" s="27"/>
      <c r="F35" s="27"/>
      <c r="G35" s="27"/>
      <c r="H35" s="26"/>
      <c r="I35" s="26">
        <f>'Analiza 2010'!Q37</f>
        <v>6000</v>
      </c>
      <c r="J35" s="26"/>
      <c r="K35" s="26"/>
      <c r="L35" s="26"/>
      <c r="M35" s="26"/>
      <c r="N35" s="44">
        <f t="shared" si="0"/>
        <v>6000</v>
      </c>
    </row>
    <row r="36" spans="1:14" ht="15">
      <c r="A36" s="48"/>
      <c r="B36" s="25"/>
      <c r="C36" s="27" t="s">
        <v>87</v>
      </c>
      <c r="D36" s="54" t="s">
        <v>37</v>
      </c>
      <c r="E36" s="27"/>
      <c r="F36" s="27"/>
      <c r="G36" s="26">
        <f>'Analiza 2010'!K38</f>
        <v>300</v>
      </c>
      <c r="H36" s="26"/>
      <c r="I36" s="26"/>
      <c r="J36" s="26"/>
      <c r="K36" s="26"/>
      <c r="L36" s="26"/>
      <c r="M36" s="26">
        <f>'Analiza 2010'!AC38</f>
        <v>50</v>
      </c>
      <c r="N36" s="44">
        <f t="shared" si="0"/>
        <v>350</v>
      </c>
    </row>
    <row r="37" spans="1:14" ht="15">
      <c r="A37" s="126"/>
      <c r="B37" s="134"/>
      <c r="C37" s="128" t="s">
        <v>87</v>
      </c>
      <c r="D37" s="129" t="s">
        <v>120</v>
      </c>
      <c r="E37" s="128"/>
      <c r="F37" s="128"/>
      <c r="G37" s="135">
        <v>375</v>
      </c>
      <c r="H37" s="135"/>
      <c r="I37" s="135"/>
      <c r="J37" s="135"/>
      <c r="K37" s="135"/>
      <c r="L37" s="135"/>
      <c r="M37" s="135"/>
      <c r="N37" s="44">
        <f t="shared" si="0"/>
        <v>375</v>
      </c>
    </row>
    <row r="38" spans="1:14" ht="15.75" thickBot="1">
      <c r="A38" s="23"/>
      <c r="B38" s="49"/>
      <c r="C38" s="56" t="s">
        <v>87</v>
      </c>
      <c r="D38" s="57" t="s">
        <v>88</v>
      </c>
      <c r="E38" s="56"/>
      <c r="F38" s="56"/>
      <c r="G38" s="58">
        <f>'Analiza 2010'!K39</f>
        <v>500</v>
      </c>
      <c r="H38" s="58"/>
      <c r="I38" s="58"/>
      <c r="J38" s="58"/>
      <c r="K38" s="58"/>
      <c r="L38" s="58"/>
      <c r="M38" s="58">
        <f>'Analiza 2010'!AC39</f>
        <v>100</v>
      </c>
      <c r="N38" s="59">
        <f t="shared" si="0"/>
        <v>600</v>
      </c>
    </row>
    <row r="39" spans="1:14" ht="15.75" thickBot="1">
      <c r="A39" s="201" t="s">
        <v>89</v>
      </c>
      <c r="B39" s="202">
        <f>SUM(B6:B35)</f>
        <v>616554</v>
      </c>
      <c r="C39" s="203"/>
      <c r="D39" s="204" t="s">
        <v>90</v>
      </c>
      <c r="E39" s="205">
        <f aca="true" t="shared" si="1" ref="E39:N39">SUM(E6:E38)</f>
        <v>174809</v>
      </c>
      <c r="F39" s="205">
        <f t="shared" si="1"/>
        <v>27743</v>
      </c>
      <c r="G39" s="205">
        <f t="shared" si="1"/>
        <v>280167</v>
      </c>
      <c r="H39" s="205">
        <f t="shared" si="1"/>
        <v>3500</v>
      </c>
      <c r="I39" s="205">
        <f t="shared" si="1"/>
        <v>17080</v>
      </c>
      <c r="J39" s="205">
        <f t="shared" si="1"/>
        <v>1160</v>
      </c>
      <c r="K39" s="205">
        <f t="shared" si="1"/>
        <v>3000</v>
      </c>
      <c r="L39" s="205">
        <f t="shared" si="1"/>
        <v>0</v>
      </c>
      <c r="M39" s="205">
        <f t="shared" si="1"/>
        <v>105095</v>
      </c>
      <c r="N39" s="206">
        <f t="shared" si="1"/>
        <v>612554</v>
      </c>
    </row>
    <row r="40" spans="1:14" ht="15.75">
      <c r="A40" s="35" t="s">
        <v>31</v>
      </c>
      <c r="B40" s="37"/>
      <c r="C40" s="37"/>
      <c r="D40" s="37"/>
      <c r="E40" s="37"/>
      <c r="F40" s="37"/>
      <c r="G40" s="37"/>
      <c r="H40" s="37"/>
      <c r="I40" s="37" t="s">
        <v>32</v>
      </c>
      <c r="J40" s="37"/>
      <c r="K40" s="37"/>
      <c r="L40" s="37"/>
      <c r="M40" s="36"/>
      <c r="N40" s="38"/>
    </row>
    <row r="41" spans="1:11" ht="15">
      <c r="A41" s="4" t="s">
        <v>33</v>
      </c>
      <c r="B41" s="4"/>
      <c r="C41" s="4"/>
      <c r="D41" s="4"/>
      <c r="E41" s="4"/>
      <c r="F41" s="4"/>
      <c r="G41" s="4"/>
      <c r="H41" s="4"/>
      <c r="I41" s="4" t="s">
        <v>34</v>
      </c>
      <c r="J41" s="4"/>
      <c r="K41" s="4"/>
    </row>
  </sheetData>
  <sheetProtection/>
  <mergeCells count="16">
    <mergeCell ref="I4:I5"/>
    <mergeCell ref="J4:J5"/>
    <mergeCell ref="K4:K5"/>
    <mergeCell ref="L4:L5"/>
    <mergeCell ref="M4:M5"/>
    <mergeCell ref="N4:N5"/>
    <mergeCell ref="A2:B2"/>
    <mergeCell ref="C2:N2"/>
    <mergeCell ref="A3:A4"/>
    <mergeCell ref="B3:B4"/>
    <mergeCell ref="E3:G3"/>
    <mergeCell ref="I3:N3"/>
    <mergeCell ref="E4:E5"/>
    <mergeCell ref="F4:F5"/>
    <mergeCell ref="G4:G5"/>
    <mergeCell ref="H4:H5"/>
  </mergeCells>
  <printOptions/>
  <pageMargins left="0.32" right="0.26" top="0.17" bottom="0.17" header="0.17" footer="0.1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23.57421875" style="0" customWidth="1"/>
    <col min="2" max="2" width="7.421875" style="0" customWidth="1"/>
    <col min="4" max="4" width="14.8515625" style="0" customWidth="1"/>
    <col min="5" max="5" width="6.8515625" style="0" customWidth="1"/>
    <col min="6" max="6" width="7.28125" style="0" customWidth="1"/>
    <col min="7" max="7" width="7.140625" style="0" customWidth="1"/>
    <col min="8" max="8" width="6.7109375" style="0" customWidth="1"/>
    <col min="9" max="9" width="7.421875" style="0" customWidth="1"/>
    <col min="10" max="12" width="7.140625" style="0" customWidth="1"/>
    <col min="13" max="13" width="8.00390625" style="0" customWidth="1"/>
    <col min="14" max="14" width="7.57421875" style="0" customWidth="1"/>
  </cols>
  <sheetData>
    <row r="1" spans="1:3" ht="15.75" thickBot="1">
      <c r="A1" s="4" t="s">
        <v>141</v>
      </c>
      <c r="C1" s="4" t="s">
        <v>97</v>
      </c>
    </row>
    <row r="2" spans="1:14" ht="15">
      <c r="A2" s="278" t="s">
        <v>40</v>
      </c>
      <c r="B2" s="279"/>
      <c r="C2" s="280" t="s">
        <v>41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5">
      <c r="A3" s="259" t="s">
        <v>42</v>
      </c>
      <c r="B3" s="271" t="s">
        <v>43</v>
      </c>
      <c r="C3" s="21" t="s">
        <v>44</v>
      </c>
      <c r="D3" s="21" t="s">
        <v>45</v>
      </c>
      <c r="E3" s="275"/>
      <c r="F3" s="275"/>
      <c r="G3" s="275"/>
      <c r="H3" s="22"/>
      <c r="I3" s="276"/>
      <c r="J3" s="276"/>
      <c r="K3" s="276"/>
      <c r="L3" s="276"/>
      <c r="M3" s="276"/>
      <c r="N3" s="277"/>
    </row>
    <row r="4" spans="1:14" ht="15">
      <c r="A4" s="259"/>
      <c r="B4" s="271"/>
      <c r="C4" s="21" t="s">
        <v>46</v>
      </c>
      <c r="D4" s="21"/>
      <c r="E4" s="271">
        <v>6000000</v>
      </c>
      <c r="F4" s="271">
        <v>6010000</v>
      </c>
      <c r="G4" s="271">
        <v>6020000</v>
      </c>
      <c r="H4" s="271">
        <v>6030000</v>
      </c>
      <c r="I4" s="271">
        <v>6040000</v>
      </c>
      <c r="J4" s="271">
        <v>6060000</v>
      </c>
      <c r="K4" s="271">
        <v>6090000</v>
      </c>
      <c r="L4" s="271">
        <v>2300000</v>
      </c>
      <c r="M4" s="271">
        <v>2310000</v>
      </c>
      <c r="N4" s="260" t="s">
        <v>27</v>
      </c>
    </row>
    <row r="5" spans="1:14" ht="15.75" thickBot="1">
      <c r="A5" s="126"/>
      <c r="B5" s="200"/>
      <c r="C5" s="200"/>
      <c r="D5" s="200"/>
      <c r="E5" s="272"/>
      <c r="F5" s="272"/>
      <c r="G5" s="272"/>
      <c r="H5" s="272"/>
      <c r="I5" s="272"/>
      <c r="J5" s="272"/>
      <c r="K5" s="272"/>
      <c r="L5" s="272"/>
      <c r="M5" s="272"/>
      <c r="N5" s="273"/>
    </row>
    <row r="6" spans="1:14" ht="15">
      <c r="A6" s="39"/>
      <c r="B6" s="40"/>
      <c r="C6" s="52" t="s">
        <v>47</v>
      </c>
      <c r="D6" s="53" t="s">
        <v>48</v>
      </c>
      <c r="E6" s="41">
        <f>'Analiza 2010'!E21</f>
        <v>78882</v>
      </c>
      <c r="F6" s="41">
        <f>'Analiza 2010'!H21</f>
        <v>12590</v>
      </c>
      <c r="G6" s="41">
        <f>52112+5300</f>
        <v>57412</v>
      </c>
      <c r="H6" s="41">
        <f>'Analiza 2010'!N21</f>
        <v>0</v>
      </c>
      <c r="I6" s="41">
        <v>13034</v>
      </c>
      <c r="J6" s="41">
        <f>'Analiza 2010'!T21</f>
        <v>660</v>
      </c>
      <c r="K6" s="41"/>
      <c r="L6" s="41">
        <f>'Analiza 2010'!Z21</f>
        <v>0</v>
      </c>
      <c r="M6" s="41">
        <f>'Analiza 2010'!AC21</f>
        <v>2170</v>
      </c>
      <c r="N6" s="42">
        <f>SUM(E6:M6)</f>
        <v>164748</v>
      </c>
    </row>
    <row r="7" spans="1:14" ht="15">
      <c r="A7" s="43"/>
      <c r="B7" s="25"/>
      <c r="C7" s="27" t="s">
        <v>47</v>
      </c>
      <c r="D7" s="54" t="s">
        <v>100</v>
      </c>
      <c r="E7" s="26"/>
      <c r="F7" s="26"/>
      <c r="G7" s="26">
        <v>4200</v>
      </c>
      <c r="H7" s="26"/>
      <c r="I7" s="26"/>
      <c r="J7" s="26"/>
      <c r="K7" s="26"/>
      <c r="L7" s="26"/>
      <c r="M7" s="26"/>
      <c r="N7" s="44">
        <f>SUM(E7:M7)</f>
        <v>4200</v>
      </c>
    </row>
    <row r="8" spans="1:14" ht="15">
      <c r="A8" s="43" t="s">
        <v>69</v>
      </c>
      <c r="B8" s="25"/>
      <c r="C8" s="27" t="s">
        <v>49</v>
      </c>
      <c r="D8" s="54" t="s">
        <v>50</v>
      </c>
      <c r="E8" s="26"/>
      <c r="F8" s="26"/>
      <c r="G8" s="26"/>
      <c r="H8" s="26"/>
      <c r="I8" s="26"/>
      <c r="J8" s="26"/>
      <c r="K8" s="26"/>
      <c r="L8" s="26"/>
      <c r="M8" s="26"/>
      <c r="N8" s="44">
        <f>SUM(E8:M8)</f>
        <v>0</v>
      </c>
    </row>
    <row r="9" spans="1:14" ht="15">
      <c r="A9" s="43"/>
      <c r="B9" s="25"/>
      <c r="C9" s="27" t="s">
        <v>49</v>
      </c>
      <c r="D9" s="54" t="s">
        <v>91</v>
      </c>
      <c r="E9" s="26"/>
      <c r="F9" s="26"/>
      <c r="G9" s="26"/>
      <c r="H9" s="26"/>
      <c r="I9" s="26"/>
      <c r="J9" s="26"/>
      <c r="K9" s="26"/>
      <c r="L9" s="26"/>
      <c r="M9" s="26">
        <f>'Analiza 2010'!AC25+1000-5870</f>
        <v>78197</v>
      </c>
      <c r="N9" s="44">
        <f>SUM(E9:M9)</f>
        <v>78197</v>
      </c>
    </row>
    <row r="10" spans="1:14" ht="15">
      <c r="A10" s="43"/>
      <c r="B10" s="25"/>
      <c r="C10" s="27" t="s">
        <v>60</v>
      </c>
      <c r="D10" s="54" t="s">
        <v>53</v>
      </c>
      <c r="E10" s="26"/>
      <c r="F10" s="26"/>
      <c r="G10" s="26"/>
      <c r="H10" s="26"/>
      <c r="I10" s="26"/>
      <c r="J10" s="26"/>
      <c r="K10" s="26"/>
      <c r="L10" s="26"/>
      <c r="M10" s="26"/>
      <c r="N10" s="44">
        <f>SUM(E10:M10)</f>
        <v>0</v>
      </c>
    </row>
    <row r="11" spans="1:14" ht="15">
      <c r="A11" s="43"/>
      <c r="B11" s="25"/>
      <c r="C11" s="27" t="s">
        <v>49</v>
      </c>
      <c r="D11" s="54" t="s">
        <v>92</v>
      </c>
      <c r="E11" s="27"/>
      <c r="F11" s="27"/>
      <c r="G11" s="27"/>
      <c r="H11" s="26"/>
      <c r="I11" s="26"/>
      <c r="J11" s="26"/>
      <c r="K11" s="26"/>
      <c r="L11" s="26"/>
      <c r="M11" s="26"/>
      <c r="N11" s="44">
        <f aca="true" t="shared" si="0" ref="N11:N38">SUM(E11:M11)</f>
        <v>0</v>
      </c>
    </row>
    <row r="12" spans="1:14" ht="15">
      <c r="A12" s="43"/>
      <c r="B12" s="28"/>
      <c r="C12" s="27" t="s">
        <v>52</v>
      </c>
      <c r="D12" s="54" t="s">
        <v>48</v>
      </c>
      <c r="E12" s="27"/>
      <c r="F12" s="27"/>
      <c r="G12" s="27"/>
      <c r="H12" s="26"/>
      <c r="I12" s="26"/>
      <c r="J12" s="26"/>
      <c r="K12" s="26"/>
      <c r="L12" s="26"/>
      <c r="M12" s="26">
        <f>857+273</f>
        <v>1130</v>
      </c>
      <c r="N12" s="44">
        <f t="shared" si="0"/>
        <v>1130</v>
      </c>
    </row>
    <row r="13" spans="1:14" ht="15.75" customHeight="1">
      <c r="A13" s="43" t="s">
        <v>54</v>
      </c>
      <c r="B13" s="25">
        <f>'Tabela T 2011 tab 2.1'!B13</f>
        <v>17272</v>
      </c>
      <c r="C13" s="27" t="s">
        <v>47</v>
      </c>
      <c r="D13" s="54" t="s">
        <v>55</v>
      </c>
      <c r="E13" s="27"/>
      <c r="F13" s="27"/>
      <c r="G13" s="26">
        <f>'Analiza 2010'!K30</f>
        <v>4830</v>
      </c>
      <c r="H13" s="26"/>
      <c r="I13" s="26"/>
      <c r="J13" s="26"/>
      <c r="K13" s="26"/>
      <c r="L13" s="26"/>
      <c r="M13" s="26"/>
      <c r="N13" s="44">
        <f t="shared" si="0"/>
        <v>4830</v>
      </c>
    </row>
    <row r="14" spans="1:14" ht="15.75" customHeight="1">
      <c r="A14" s="45" t="s">
        <v>98</v>
      </c>
      <c r="B14" s="28">
        <f>397046+3000+3000</f>
        <v>403046</v>
      </c>
      <c r="C14" s="27" t="s">
        <v>51</v>
      </c>
      <c r="D14" s="54" t="s">
        <v>57</v>
      </c>
      <c r="E14" s="26">
        <f>'Analiza 2010'!E6</f>
        <v>4057</v>
      </c>
      <c r="F14" s="26">
        <f>'Analiza 2010'!H6</f>
        <v>646</v>
      </c>
      <c r="G14" s="26">
        <f>'Analiza 2010'!K6</f>
        <v>1510</v>
      </c>
      <c r="H14" s="26"/>
      <c r="I14" s="26"/>
      <c r="J14" s="26"/>
      <c r="K14" s="26"/>
      <c r="L14" s="26"/>
      <c r="M14" s="26">
        <f>'Analiza 2010'!AC6</f>
        <v>0</v>
      </c>
      <c r="N14" s="44">
        <f t="shared" si="0"/>
        <v>6213</v>
      </c>
    </row>
    <row r="15" spans="1:14" ht="15" customHeight="1">
      <c r="A15" s="45" t="s">
        <v>58</v>
      </c>
      <c r="B15" s="28">
        <v>172460</v>
      </c>
      <c r="C15" s="27" t="s">
        <v>51</v>
      </c>
      <c r="D15" s="55" t="s">
        <v>59</v>
      </c>
      <c r="E15" s="26">
        <f>'Analiza 2010'!E7</f>
        <v>8505</v>
      </c>
      <c r="F15" s="26">
        <f>'Analiza 2010'!H7</f>
        <v>1353</v>
      </c>
      <c r="G15" s="26">
        <f>'Analiza 2010'!K7</f>
        <v>31550</v>
      </c>
      <c r="H15" s="26"/>
      <c r="I15" s="26"/>
      <c r="J15" s="26">
        <f>'Analiza 2010'!T7</f>
        <v>0</v>
      </c>
      <c r="K15" s="26"/>
      <c r="L15" s="26"/>
      <c r="M15" s="26">
        <f>'Analiza 2010'!AC7</f>
        <v>980</v>
      </c>
      <c r="N15" s="44">
        <f t="shared" si="0"/>
        <v>42388</v>
      </c>
    </row>
    <row r="16" spans="1:14" ht="15">
      <c r="A16" s="47" t="s">
        <v>93</v>
      </c>
      <c r="B16" s="28">
        <v>23776</v>
      </c>
      <c r="C16" s="27" t="s">
        <v>60</v>
      </c>
      <c r="D16" s="55" t="s">
        <v>61</v>
      </c>
      <c r="E16" s="26"/>
      <c r="F16" s="26"/>
      <c r="G16" s="26"/>
      <c r="H16" s="26"/>
      <c r="I16" s="26"/>
      <c r="J16" s="26"/>
      <c r="K16" s="26"/>
      <c r="L16" s="26"/>
      <c r="M16" s="26"/>
      <c r="N16" s="44">
        <f t="shared" si="0"/>
        <v>0</v>
      </c>
    </row>
    <row r="17" spans="1:14" ht="15">
      <c r="A17" s="46"/>
      <c r="B17" s="28"/>
      <c r="C17" s="27" t="s">
        <v>62</v>
      </c>
      <c r="D17" s="55" t="s">
        <v>63</v>
      </c>
      <c r="E17" s="26"/>
      <c r="F17" s="27"/>
      <c r="G17" s="26">
        <f>'Analiza 2010'!K8</f>
        <v>7200</v>
      </c>
      <c r="H17" s="26"/>
      <c r="I17" s="26"/>
      <c r="J17" s="26"/>
      <c r="K17" s="26"/>
      <c r="L17" s="26"/>
      <c r="M17" s="26">
        <f>'Analiza 2010'!AC8</f>
        <v>200</v>
      </c>
      <c r="N17" s="44">
        <f t="shared" si="0"/>
        <v>7400</v>
      </c>
    </row>
    <row r="18" spans="1:14" ht="15">
      <c r="A18" s="47"/>
      <c r="B18" s="28"/>
      <c r="C18" s="27" t="s">
        <v>64</v>
      </c>
      <c r="D18" s="54" t="s">
        <v>36</v>
      </c>
      <c r="E18" s="26">
        <f>'Analiza 2010'!E9</f>
        <v>10815</v>
      </c>
      <c r="F18" s="26">
        <f>'Analiza 2010'!H9</f>
        <v>1720</v>
      </c>
      <c r="G18" s="26">
        <f>'Analiza 2010'!K9</f>
        <v>13800</v>
      </c>
      <c r="H18" s="26"/>
      <c r="I18" s="26"/>
      <c r="J18" s="26"/>
      <c r="K18" s="26"/>
      <c r="L18" s="26"/>
      <c r="M18" s="26">
        <f>'Analiza 2010'!AC9</f>
        <v>200</v>
      </c>
      <c r="N18" s="44">
        <f t="shared" si="0"/>
        <v>26535</v>
      </c>
    </row>
    <row r="19" spans="1:14" ht="15">
      <c r="A19" s="43"/>
      <c r="B19" s="28"/>
      <c r="C19" s="27" t="s">
        <v>65</v>
      </c>
      <c r="D19" s="54" t="s">
        <v>66</v>
      </c>
      <c r="E19" s="26">
        <f>'Analiza 2010'!E10</f>
        <v>6174</v>
      </c>
      <c r="F19" s="26">
        <f>'Analiza 2010'!H10</f>
        <v>982</v>
      </c>
      <c r="G19" s="26">
        <f>'Analiza 2010'!K10</f>
        <v>12382</v>
      </c>
      <c r="H19" s="26"/>
      <c r="I19" s="26"/>
      <c r="J19" s="26"/>
      <c r="K19" s="26"/>
      <c r="L19" s="26"/>
      <c r="M19" s="26">
        <f>'Analiza 2010'!AC10</f>
        <v>0</v>
      </c>
      <c r="N19" s="44">
        <f t="shared" si="0"/>
        <v>19538</v>
      </c>
    </row>
    <row r="20" spans="1:14" ht="15">
      <c r="A20" s="43"/>
      <c r="B20" s="28"/>
      <c r="C20" s="27" t="s">
        <v>67</v>
      </c>
      <c r="D20" s="54" t="s">
        <v>68</v>
      </c>
      <c r="E20" s="26"/>
      <c r="F20" s="26"/>
      <c r="G20" s="26"/>
      <c r="H20" s="26"/>
      <c r="I20" s="26"/>
      <c r="J20" s="26"/>
      <c r="K20" s="26"/>
      <c r="L20" s="26"/>
      <c r="M20" s="26">
        <f>'Analiza 2010'!AC11</f>
        <v>600</v>
      </c>
      <c r="N20" s="44">
        <f t="shared" si="0"/>
        <v>600</v>
      </c>
    </row>
    <row r="21" spans="1:14" ht="15">
      <c r="A21" s="46" t="s">
        <v>69</v>
      </c>
      <c r="B21" s="28"/>
      <c r="C21" s="27" t="s">
        <v>65</v>
      </c>
      <c r="D21" s="54" t="s">
        <v>70</v>
      </c>
      <c r="E21" s="26">
        <f>'Analiza 2010'!E12</f>
        <v>3558</v>
      </c>
      <c r="F21" s="26">
        <f>'Analiza 2010'!H12</f>
        <v>568</v>
      </c>
      <c r="G21" s="26">
        <f>'Analiza 2010'!K12</f>
        <v>10330</v>
      </c>
      <c r="H21" s="26"/>
      <c r="I21" s="26"/>
      <c r="J21" s="26"/>
      <c r="K21" s="26"/>
      <c r="L21" s="26"/>
      <c r="M21" s="26">
        <f>'Analiza 2010'!AC12</f>
        <v>1400</v>
      </c>
      <c r="N21" s="44">
        <f t="shared" si="0"/>
        <v>15856</v>
      </c>
    </row>
    <row r="22" spans="1:14" ht="15">
      <c r="A22" s="46"/>
      <c r="B22" s="28"/>
      <c r="C22" s="27" t="s">
        <v>71</v>
      </c>
      <c r="D22" s="54" t="s">
        <v>72</v>
      </c>
      <c r="E22" s="26">
        <f>'Analiza 2010'!E13</f>
        <v>6256</v>
      </c>
      <c r="F22" s="26">
        <f>'Analiza 2010'!H13</f>
        <v>995</v>
      </c>
      <c r="G22" s="26">
        <f>'Analiza 2010'!K13+754</f>
        <v>16509</v>
      </c>
      <c r="H22" s="26"/>
      <c r="I22" s="26"/>
      <c r="J22" s="26"/>
      <c r="K22" s="26"/>
      <c r="L22" s="26"/>
      <c r="M22" s="26">
        <f>'Analiza 2010'!AC13</f>
        <v>630</v>
      </c>
      <c r="N22" s="44">
        <f t="shared" si="0"/>
        <v>24390</v>
      </c>
    </row>
    <row r="23" spans="1:14" ht="15">
      <c r="A23" s="46"/>
      <c r="B23" s="28"/>
      <c r="C23" s="27" t="s">
        <v>73</v>
      </c>
      <c r="D23" s="54" t="s">
        <v>74</v>
      </c>
      <c r="E23" s="26"/>
      <c r="F23" s="26"/>
      <c r="G23" s="26"/>
      <c r="H23" s="26"/>
      <c r="I23" s="26"/>
      <c r="J23" s="26"/>
      <c r="K23" s="26"/>
      <c r="L23" s="26"/>
      <c r="M23" s="26"/>
      <c r="N23" s="44">
        <f t="shared" si="0"/>
        <v>0</v>
      </c>
    </row>
    <row r="24" spans="1:14" ht="15">
      <c r="A24" s="46"/>
      <c r="B24" s="28"/>
      <c r="C24" s="27" t="s">
        <v>71</v>
      </c>
      <c r="D24" s="54" t="s">
        <v>9</v>
      </c>
      <c r="E24" s="26">
        <f>'Analiza 2010'!E15</f>
        <v>10586</v>
      </c>
      <c r="F24" s="26">
        <f>'Analiza 2010'!H15</f>
        <v>1690</v>
      </c>
      <c r="G24" s="26">
        <f>'Analiza 2010'!K15</f>
        <v>9679</v>
      </c>
      <c r="H24" s="26"/>
      <c r="I24" s="26"/>
      <c r="J24" s="26"/>
      <c r="K24" s="26"/>
      <c r="L24" s="26"/>
      <c r="M24" s="26">
        <f>'Analiza 2010'!AC15</f>
        <v>0</v>
      </c>
      <c r="N24" s="44">
        <f t="shared" si="0"/>
        <v>21955</v>
      </c>
    </row>
    <row r="25" spans="1:14" ht="15">
      <c r="A25" s="46"/>
      <c r="B25" s="28"/>
      <c r="C25" s="27" t="s">
        <v>47</v>
      </c>
      <c r="D25" s="54" t="s">
        <v>11</v>
      </c>
      <c r="E25" s="26"/>
      <c r="F25" s="26"/>
      <c r="G25" s="26"/>
      <c r="H25" s="26"/>
      <c r="I25" s="26"/>
      <c r="J25" s="26"/>
      <c r="K25" s="26">
        <f>'Analiza 2010'!W18</f>
        <v>0</v>
      </c>
      <c r="L25" s="26"/>
      <c r="M25" s="26">
        <f>'Analiza 2010'!AC18+'Analiza 2010'!E18+'Analiza 2010'!H18+'Analiza 2010'!K18</f>
        <v>12551</v>
      </c>
      <c r="N25" s="44">
        <f t="shared" si="0"/>
        <v>12551</v>
      </c>
    </row>
    <row r="26" spans="1:14" ht="15">
      <c r="A26" s="46"/>
      <c r="B26" s="28"/>
      <c r="C26" s="27" t="s">
        <v>71</v>
      </c>
      <c r="D26" s="54" t="s">
        <v>75</v>
      </c>
      <c r="E26" s="26">
        <f>'Analiza 2010'!E17</f>
        <v>5891</v>
      </c>
      <c r="F26" s="26">
        <f>'Analiza 2010'!H17</f>
        <v>937</v>
      </c>
      <c r="G26" s="26">
        <f>'Analiza 2010'!K17</f>
        <v>2275</v>
      </c>
      <c r="H26" s="26"/>
      <c r="I26" s="26"/>
      <c r="J26" s="26"/>
      <c r="K26" s="26"/>
      <c r="L26" s="26"/>
      <c r="M26" s="26">
        <f>'Analiza 2010'!AC17</f>
        <v>1100</v>
      </c>
      <c r="N26" s="44">
        <f t="shared" si="0"/>
        <v>10203</v>
      </c>
    </row>
    <row r="27" spans="1:14" ht="15">
      <c r="A27" s="46"/>
      <c r="B27" s="28"/>
      <c r="C27" s="27" t="s">
        <v>52</v>
      </c>
      <c r="D27" s="54" t="s">
        <v>76</v>
      </c>
      <c r="E27" s="26">
        <f>'Analiza 2010'!E19+1603</f>
        <v>38302</v>
      </c>
      <c r="F27" s="26">
        <f>'Analiza 2010'!H19+268</f>
        <v>5968</v>
      </c>
      <c r="G27" s="26">
        <f>'Analiza 2010'!K19</f>
        <v>53013</v>
      </c>
      <c r="H27" s="26"/>
      <c r="I27" s="26"/>
      <c r="J27" s="26"/>
      <c r="K27" s="26"/>
      <c r="L27" s="26"/>
      <c r="M27" s="26">
        <f>'Analiza 2010'!AC19</f>
        <v>4318</v>
      </c>
      <c r="N27" s="44">
        <f t="shared" si="0"/>
        <v>101601</v>
      </c>
    </row>
    <row r="28" spans="1:14" ht="15">
      <c r="A28" s="46"/>
      <c r="B28" s="28"/>
      <c r="C28" s="27" t="s">
        <v>77</v>
      </c>
      <c r="D28" s="54" t="s">
        <v>78</v>
      </c>
      <c r="E28" s="26"/>
      <c r="F28" s="26"/>
      <c r="G28" s="26"/>
      <c r="H28" s="26"/>
      <c r="I28" s="26"/>
      <c r="J28" s="26"/>
      <c r="K28" s="26"/>
      <c r="L28" s="26"/>
      <c r="M28" s="26"/>
      <c r="N28" s="44">
        <f t="shared" si="0"/>
        <v>0</v>
      </c>
    </row>
    <row r="29" spans="1:14" ht="15">
      <c r="A29" s="48"/>
      <c r="B29" s="28"/>
      <c r="C29" s="27" t="s">
        <v>79</v>
      </c>
      <c r="D29" s="54" t="s">
        <v>80</v>
      </c>
      <c r="E29" s="27"/>
      <c r="F29" s="27"/>
      <c r="G29" s="27"/>
      <c r="H29" s="26">
        <v>4500</v>
      </c>
      <c r="I29" s="26"/>
      <c r="J29" s="26"/>
      <c r="K29" s="26"/>
      <c r="L29" s="26"/>
      <c r="M29" s="26"/>
      <c r="N29" s="44">
        <f t="shared" si="0"/>
        <v>4500</v>
      </c>
    </row>
    <row r="30" spans="1:14" ht="15">
      <c r="A30" s="48"/>
      <c r="B30" s="25"/>
      <c r="C30" s="27" t="s">
        <v>52</v>
      </c>
      <c r="D30" s="54" t="s">
        <v>81</v>
      </c>
      <c r="E30" s="26">
        <f>'Analiza 2010'!E32</f>
        <v>496</v>
      </c>
      <c r="F30" s="26">
        <f>'Analiza 2010'!H32</f>
        <v>79</v>
      </c>
      <c r="G30" s="26">
        <f>'Analiza 2010'!K32</f>
        <v>59284</v>
      </c>
      <c r="H30" s="26"/>
      <c r="I30" s="26"/>
      <c r="J30" s="26"/>
      <c r="K30" s="26"/>
      <c r="L30" s="26"/>
      <c r="M30" s="26"/>
      <c r="N30" s="44">
        <f t="shared" si="0"/>
        <v>59859</v>
      </c>
    </row>
    <row r="31" spans="1:14" ht="15">
      <c r="A31" s="48"/>
      <c r="B31" s="25"/>
      <c r="C31" s="27" t="s">
        <v>52</v>
      </c>
      <c r="D31" s="54" t="s">
        <v>82</v>
      </c>
      <c r="E31" s="26"/>
      <c r="F31" s="26"/>
      <c r="G31" s="26">
        <f>'Analiza 2010'!K33</f>
        <v>4223</v>
      </c>
      <c r="H31" s="26"/>
      <c r="I31" s="26"/>
      <c r="J31" s="26"/>
      <c r="K31" s="26"/>
      <c r="L31" s="26"/>
      <c r="M31" s="26"/>
      <c r="N31" s="44">
        <f t="shared" si="0"/>
        <v>4223</v>
      </c>
    </row>
    <row r="32" spans="1:14" ht="15">
      <c r="A32" s="48"/>
      <c r="B32" s="25"/>
      <c r="C32" s="27" t="s">
        <v>83</v>
      </c>
      <c r="D32" s="54" t="s">
        <v>84</v>
      </c>
      <c r="E32" s="27"/>
      <c r="F32" s="27"/>
      <c r="G32" s="27"/>
      <c r="H32" s="26"/>
      <c r="I32" s="26"/>
      <c r="J32" s="26"/>
      <c r="K32" s="26">
        <f>'Analiza 2010'!W34</f>
        <v>3000</v>
      </c>
      <c r="L32" s="26"/>
      <c r="M32" s="26"/>
      <c r="N32" s="44">
        <f t="shared" si="0"/>
        <v>3000</v>
      </c>
    </row>
    <row r="33" spans="1:14" ht="15">
      <c r="A33" s="104"/>
      <c r="B33" s="25"/>
      <c r="C33" s="27" t="s">
        <v>83</v>
      </c>
      <c r="D33" s="54" t="s">
        <v>22</v>
      </c>
      <c r="E33" s="27"/>
      <c r="F33" s="27"/>
      <c r="G33" s="27"/>
      <c r="H33" s="26"/>
      <c r="I33" s="26"/>
      <c r="J33" s="26"/>
      <c r="K33" s="26"/>
      <c r="L33" s="26"/>
      <c r="M33" s="26"/>
      <c r="N33" s="44">
        <f t="shared" si="0"/>
        <v>0</v>
      </c>
    </row>
    <row r="34" spans="1:14" ht="15">
      <c r="A34" s="48"/>
      <c r="B34" s="25"/>
      <c r="C34" s="27" t="s">
        <v>83</v>
      </c>
      <c r="D34" s="54" t="s">
        <v>85</v>
      </c>
      <c r="E34" s="27"/>
      <c r="F34" s="27"/>
      <c r="G34" s="27"/>
      <c r="H34" s="26"/>
      <c r="I34" s="26"/>
      <c r="J34" s="26">
        <f>'Analiza 2010'!T36</f>
        <v>500</v>
      </c>
      <c r="K34" s="26"/>
      <c r="L34" s="26"/>
      <c r="M34" s="26"/>
      <c r="N34" s="44">
        <f t="shared" si="0"/>
        <v>500</v>
      </c>
    </row>
    <row r="35" spans="1:14" ht="15">
      <c r="A35" s="48"/>
      <c r="B35" s="25"/>
      <c r="C35" s="27" t="s">
        <v>47</v>
      </c>
      <c r="D35" s="54" t="s">
        <v>86</v>
      </c>
      <c r="E35" s="27"/>
      <c r="F35" s="27"/>
      <c r="G35" s="27"/>
      <c r="H35" s="26"/>
      <c r="I35" s="26">
        <f>'Analiza 2010'!Q37</f>
        <v>6000</v>
      </c>
      <c r="J35" s="26"/>
      <c r="K35" s="26"/>
      <c r="L35" s="26"/>
      <c r="M35" s="26"/>
      <c r="N35" s="44">
        <f t="shared" si="0"/>
        <v>6000</v>
      </c>
    </row>
    <row r="36" spans="1:14" ht="15">
      <c r="A36" s="48"/>
      <c r="B36" s="25"/>
      <c r="C36" s="27" t="s">
        <v>87</v>
      </c>
      <c r="D36" s="54" t="s">
        <v>37</v>
      </c>
      <c r="E36" s="27"/>
      <c r="F36" s="27"/>
      <c r="G36" s="26">
        <f>'Analiza 2010'!K38</f>
        <v>300</v>
      </c>
      <c r="H36" s="26"/>
      <c r="I36" s="26"/>
      <c r="J36" s="26"/>
      <c r="K36" s="26"/>
      <c r="L36" s="26"/>
      <c r="M36" s="26">
        <f>'Analiza 2010'!AC38</f>
        <v>50</v>
      </c>
      <c r="N36" s="44">
        <f t="shared" si="0"/>
        <v>350</v>
      </c>
    </row>
    <row r="37" spans="1:14" ht="15">
      <c r="A37" s="126"/>
      <c r="B37" s="134"/>
      <c r="C37" s="128" t="s">
        <v>87</v>
      </c>
      <c r="D37" s="129" t="s">
        <v>120</v>
      </c>
      <c r="E37" s="128"/>
      <c r="F37" s="128"/>
      <c r="G37" s="135">
        <f>'Analiza 2010 TAB 3'!R42</f>
        <v>425</v>
      </c>
      <c r="H37" s="135"/>
      <c r="I37" s="135"/>
      <c r="J37" s="135"/>
      <c r="K37" s="135"/>
      <c r="L37" s="135"/>
      <c r="M37" s="135"/>
      <c r="N37" s="44">
        <f t="shared" si="0"/>
        <v>425</v>
      </c>
    </row>
    <row r="38" spans="1:14" ht="15.75" thickBot="1">
      <c r="A38" s="23"/>
      <c r="B38" s="49"/>
      <c r="C38" s="56" t="s">
        <v>87</v>
      </c>
      <c r="D38" s="57" t="s">
        <v>88</v>
      </c>
      <c r="E38" s="56"/>
      <c r="F38" s="56"/>
      <c r="G38" s="58">
        <f>'Analiza 2010'!K39</f>
        <v>500</v>
      </c>
      <c r="H38" s="58"/>
      <c r="I38" s="58"/>
      <c r="J38" s="58"/>
      <c r="K38" s="58"/>
      <c r="L38" s="58"/>
      <c r="M38" s="58">
        <f>'Analiza 2010'!AC39</f>
        <v>100</v>
      </c>
      <c r="N38" s="59">
        <f t="shared" si="0"/>
        <v>600</v>
      </c>
    </row>
    <row r="39" spans="1:14" ht="15.75" thickBot="1">
      <c r="A39" s="201" t="s">
        <v>89</v>
      </c>
      <c r="B39" s="202">
        <f>SUM(B6:B35)</f>
        <v>616554</v>
      </c>
      <c r="C39" s="203"/>
      <c r="D39" s="204" t="s">
        <v>90</v>
      </c>
      <c r="E39" s="205">
        <f aca="true" t="shared" si="1" ref="E39:N39">SUM(E6:E38)</f>
        <v>173522</v>
      </c>
      <c r="F39" s="205">
        <f t="shared" si="1"/>
        <v>27528</v>
      </c>
      <c r="G39" s="205">
        <f t="shared" si="1"/>
        <v>289422</v>
      </c>
      <c r="H39" s="205">
        <f t="shared" si="1"/>
        <v>4500</v>
      </c>
      <c r="I39" s="205">
        <f t="shared" si="1"/>
        <v>19034</v>
      </c>
      <c r="J39" s="205">
        <f t="shared" si="1"/>
        <v>1160</v>
      </c>
      <c r="K39" s="205">
        <f t="shared" si="1"/>
        <v>3000</v>
      </c>
      <c r="L39" s="205">
        <f t="shared" si="1"/>
        <v>0</v>
      </c>
      <c r="M39" s="205">
        <f t="shared" si="1"/>
        <v>103626</v>
      </c>
      <c r="N39" s="206">
        <f t="shared" si="1"/>
        <v>621792</v>
      </c>
    </row>
    <row r="40" spans="1:14" ht="15.75">
      <c r="A40" s="35" t="s">
        <v>31</v>
      </c>
      <c r="B40" s="37"/>
      <c r="C40" s="37"/>
      <c r="D40" s="37"/>
      <c r="E40" s="37"/>
      <c r="F40" s="37"/>
      <c r="G40" s="37"/>
      <c r="H40" s="37"/>
      <c r="I40" s="37" t="s">
        <v>32</v>
      </c>
      <c r="J40" s="37"/>
      <c r="K40" s="37"/>
      <c r="L40" s="37"/>
      <c r="M40" s="36"/>
      <c r="N40" s="38"/>
    </row>
    <row r="41" spans="1:11" ht="15">
      <c r="A41" s="4" t="s">
        <v>33</v>
      </c>
      <c r="B41" s="4"/>
      <c r="C41" s="4"/>
      <c r="D41" s="4"/>
      <c r="E41" s="4"/>
      <c r="F41" s="4"/>
      <c r="G41" s="4"/>
      <c r="H41" s="4"/>
      <c r="I41" s="4" t="s">
        <v>34</v>
      </c>
      <c r="J41" s="4"/>
      <c r="K41" s="4"/>
    </row>
  </sheetData>
  <sheetProtection/>
  <mergeCells count="16">
    <mergeCell ref="I4:I5"/>
    <mergeCell ref="J4:J5"/>
    <mergeCell ref="K4:K5"/>
    <mergeCell ref="L4:L5"/>
    <mergeCell ref="M4:M5"/>
    <mergeCell ref="N4:N5"/>
    <mergeCell ref="A2:B2"/>
    <mergeCell ref="C2:N2"/>
    <mergeCell ref="A3:A4"/>
    <mergeCell ref="B3:B4"/>
    <mergeCell ref="E3:G3"/>
    <mergeCell ref="I3:N3"/>
    <mergeCell ref="E4:E5"/>
    <mergeCell ref="F4:F5"/>
    <mergeCell ref="G4:G5"/>
    <mergeCell ref="H4:H5"/>
  </mergeCells>
  <printOptions/>
  <pageMargins left="0.32" right="0.26" top="0.17" bottom="0.17" header="0.17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7.00390625" style="0" customWidth="1"/>
    <col min="2" max="2" width="8.00390625" style="0" customWidth="1"/>
    <col min="4" max="4" width="15.7109375" style="0" customWidth="1"/>
    <col min="9" max="9" width="6.7109375" style="0" customWidth="1"/>
  </cols>
  <sheetData>
    <row r="2" spans="1:10" ht="17.25" thickBot="1">
      <c r="A2" s="131" t="s">
        <v>116</v>
      </c>
      <c r="B2" s="114"/>
      <c r="C2" s="115" t="s">
        <v>117</v>
      </c>
      <c r="D2" s="114"/>
      <c r="E2" s="114"/>
      <c r="F2" s="114"/>
      <c r="G2" s="114"/>
      <c r="H2" s="114"/>
      <c r="I2" s="114"/>
      <c r="J2" s="114"/>
    </row>
    <row r="3" spans="1:11" ht="15.75" thickBot="1">
      <c r="A3" s="287" t="s">
        <v>40</v>
      </c>
      <c r="B3" s="288"/>
      <c r="C3" s="282" t="s">
        <v>41</v>
      </c>
      <c r="D3" s="280"/>
      <c r="E3" s="280"/>
      <c r="F3" s="280"/>
      <c r="G3" s="280"/>
      <c r="H3" s="280"/>
      <c r="I3" s="280"/>
      <c r="J3" s="280"/>
      <c r="K3" s="281"/>
    </row>
    <row r="4" spans="1:11" ht="15">
      <c r="A4" s="258" t="s">
        <v>42</v>
      </c>
      <c r="B4" s="289" t="s">
        <v>43</v>
      </c>
      <c r="C4" s="140" t="s">
        <v>44</v>
      </c>
      <c r="D4" s="141" t="s">
        <v>45</v>
      </c>
      <c r="E4" s="142"/>
      <c r="F4" s="142"/>
      <c r="G4" s="143"/>
      <c r="H4" s="283"/>
      <c r="I4" s="283"/>
      <c r="J4" s="284"/>
      <c r="K4" s="285"/>
    </row>
    <row r="5" spans="1:11" ht="15.75" thickBot="1">
      <c r="A5" s="264"/>
      <c r="B5" s="290"/>
      <c r="C5" s="144" t="s">
        <v>46</v>
      </c>
      <c r="D5" s="47"/>
      <c r="E5" s="291">
        <v>6020000</v>
      </c>
      <c r="F5" s="293">
        <v>6030000</v>
      </c>
      <c r="G5" s="145"/>
      <c r="H5" s="291">
        <v>6060000</v>
      </c>
      <c r="I5" s="145"/>
      <c r="J5" s="296">
        <v>2310000</v>
      </c>
      <c r="K5" s="273" t="s">
        <v>27</v>
      </c>
    </row>
    <row r="6" spans="1:11" ht="15.75" thickBot="1">
      <c r="A6" s="146"/>
      <c r="B6" s="147"/>
      <c r="C6" s="148"/>
      <c r="D6" s="149"/>
      <c r="E6" s="292"/>
      <c r="F6" s="294"/>
      <c r="G6" s="150">
        <v>6040000</v>
      </c>
      <c r="H6" s="295"/>
      <c r="I6" s="150">
        <v>6090000</v>
      </c>
      <c r="J6" s="292"/>
      <c r="K6" s="286"/>
    </row>
    <row r="7" spans="1:11" ht="15">
      <c r="A7" s="151"/>
      <c r="B7" s="152"/>
      <c r="C7" s="153" t="s">
        <v>47</v>
      </c>
      <c r="D7" s="154" t="s">
        <v>48</v>
      </c>
      <c r="E7" s="155">
        <f>8284+300</f>
        <v>8584</v>
      </c>
      <c r="F7" s="156">
        <f>220-220</f>
        <v>0</v>
      </c>
      <c r="G7" s="156">
        <f>600</f>
        <v>600</v>
      </c>
      <c r="H7" s="156">
        <f>600-600</f>
        <v>0</v>
      </c>
      <c r="I7" s="156"/>
      <c r="J7" s="156">
        <v>408</v>
      </c>
      <c r="K7" s="157">
        <f aca="true" t="shared" si="0" ref="K7:K26">SUM(E7:J7)</f>
        <v>9592</v>
      </c>
    </row>
    <row r="8" spans="1:11" ht="18.75" customHeight="1">
      <c r="A8" s="159" t="s">
        <v>148</v>
      </c>
      <c r="B8" s="152">
        <f>45247-1383-874</f>
        <v>42990</v>
      </c>
      <c r="C8" s="158" t="s">
        <v>51</v>
      </c>
      <c r="D8" s="154" t="s">
        <v>48</v>
      </c>
      <c r="E8" s="155"/>
      <c r="F8" s="156"/>
      <c r="G8" s="156"/>
      <c r="H8" s="156"/>
      <c r="I8" s="156"/>
      <c r="J8" s="156">
        <v>152</v>
      </c>
      <c r="K8" s="157">
        <f t="shared" si="0"/>
        <v>152</v>
      </c>
    </row>
    <row r="9" spans="1:11" ht="27.75" customHeight="1">
      <c r="A9" s="151" t="s">
        <v>118</v>
      </c>
      <c r="B9" s="152">
        <v>31127</v>
      </c>
      <c r="C9" s="158" t="s">
        <v>47</v>
      </c>
      <c r="D9" s="154" t="s">
        <v>48</v>
      </c>
      <c r="E9" s="155"/>
      <c r="F9" s="156"/>
      <c r="G9" s="156"/>
      <c r="H9" s="156"/>
      <c r="I9" s="156"/>
      <c r="J9" s="156"/>
      <c r="K9" s="157">
        <f t="shared" si="0"/>
        <v>0</v>
      </c>
    </row>
    <row r="10" spans="1:11" ht="15">
      <c r="A10" s="160"/>
      <c r="B10" s="161"/>
      <c r="C10" s="158" t="s">
        <v>49</v>
      </c>
      <c r="D10" s="162" t="s">
        <v>48</v>
      </c>
      <c r="E10" s="163"/>
      <c r="F10" s="117"/>
      <c r="G10" s="117"/>
      <c r="H10" s="117"/>
      <c r="I10" s="117"/>
      <c r="J10" s="117">
        <v>31870</v>
      </c>
      <c r="K10" s="157">
        <f t="shared" si="0"/>
        <v>31870</v>
      </c>
    </row>
    <row r="11" spans="1:11" ht="15">
      <c r="A11" s="164"/>
      <c r="B11" s="165"/>
      <c r="C11" s="158" t="s">
        <v>52</v>
      </c>
      <c r="D11" s="162" t="s">
        <v>48</v>
      </c>
      <c r="E11" s="163"/>
      <c r="F11" s="117"/>
      <c r="G11" s="117"/>
      <c r="H11" s="117"/>
      <c r="I11" s="117"/>
      <c r="J11" s="117">
        <v>2886</v>
      </c>
      <c r="K11" s="157">
        <f t="shared" si="0"/>
        <v>2886</v>
      </c>
    </row>
    <row r="12" spans="1:11" ht="15">
      <c r="A12" s="166"/>
      <c r="B12" s="165"/>
      <c r="C12" s="158" t="s">
        <v>128</v>
      </c>
      <c r="D12" s="162" t="s">
        <v>147</v>
      </c>
      <c r="E12" s="167"/>
      <c r="F12" s="117"/>
      <c r="G12" s="117"/>
      <c r="H12" s="117"/>
      <c r="I12" s="117"/>
      <c r="J12" s="117"/>
      <c r="K12" s="157">
        <f t="shared" si="0"/>
        <v>0</v>
      </c>
    </row>
    <row r="13" spans="1:11" ht="15">
      <c r="A13" s="168"/>
      <c r="B13" s="165"/>
      <c r="C13" s="169" t="s">
        <v>60</v>
      </c>
      <c r="D13" s="170" t="s">
        <v>61</v>
      </c>
      <c r="E13" s="167"/>
      <c r="F13" s="117"/>
      <c r="G13" s="117"/>
      <c r="H13" s="117"/>
      <c r="I13" s="117"/>
      <c r="J13" s="117"/>
      <c r="K13" s="157">
        <f t="shared" si="0"/>
        <v>0</v>
      </c>
    </row>
    <row r="14" spans="1:11" ht="15">
      <c r="A14" s="160"/>
      <c r="B14" s="165"/>
      <c r="C14" s="169" t="s">
        <v>51</v>
      </c>
      <c r="D14" s="170" t="s">
        <v>59</v>
      </c>
      <c r="E14" s="163">
        <f>3690+50</f>
        <v>3740</v>
      </c>
      <c r="F14" s="117"/>
      <c r="G14" s="117"/>
      <c r="H14" s="117"/>
      <c r="I14" s="117"/>
      <c r="J14" s="117">
        <v>221</v>
      </c>
      <c r="K14" s="157">
        <f t="shared" si="0"/>
        <v>3961</v>
      </c>
    </row>
    <row r="15" spans="1:11" ht="15">
      <c r="A15" s="171"/>
      <c r="B15" s="165"/>
      <c r="C15" s="169" t="s">
        <v>62</v>
      </c>
      <c r="D15" s="170" t="s">
        <v>63</v>
      </c>
      <c r="E15" s="163">
        <v>1137</v>
      </c>
      <c r="F15" s="117"/>
      <c r="G15" s="117"/>
      <c r="H15" s="117"/>
      <c r="I15" s="117"/>
      <c r="J15" s="117"/>
      <c r="K15" s="157">
        <f t="shared" si="0"/>
        <v>1137</v>
      </c>
    </row>
    <row r="16" spans="1:11" ht="15">
      <c r="A16" s="171"/>
      <c r="B16" s="165"/>
      <c r="C16" s="169" t="s">
        <v>64</v>
      </c>
      <c r="D16" s="162" t="s">
        <v>36</v>
      </c>
      <c r="E16" s="163">
        <v>1932</v>
      </c>
      <c r="F16" s="117"/>
      <c r="G16" s="117"/>
      <c r="H16" s="117"/>
      <c r="I16" s="117"/>
      <c r="J16" s="117"/>
      <c r="K16" s="157">
        <f t="shared" si="0"/>
        <v>1932</v>
      </c>
    </row>
    <row r="17" spans="1:11" ht="15">
      <c r="A17" s="171"/>
      <c r="B17" s="165"/>
      <c r="C17" s="169" t="s">
        <v>65</v>
      </c>
      <c r="D17" s="162" t="s">
        <v>66</v>
      </c>
      <c r="E17" s="163">
        <v>337</v>
      </c>
      <c r="F17" s="117"/>
      <c r="G17" s="117"/>
      <c r="H17" s="117"/>
      <c r="I17" s="117"/>
      <c r="J17" s="117"/>
      <c r="K17" s="157">
        <f t="shared" si="0"/>
        <v>337</v>
      </c>
    </row>
    <row r="18" spans="1:11" ht="15">
      <c r="A18" s="171"/>
      <c r="B18" s="165"/>
      <c r="C18" s="169" t="s">
        <v>67</v>
      </c>
      <c r="D18" s="162" t="s">
        <v>68</v>
      </c>
      <c r="E18" s="163"/>
      <c r="F18" s="117"/>
      <c r="G18" s="117"/>
      <c r="H18" s="117"/>
      <c r="I18" s="117"/>
      <c r="J18" s="117">
        <v>1</v>
      </c>
      <c r="K18" s="157">
        <f t="shared" si="0"/>
        <v>1</v>
      </c>
    </row>
    <row r="19" spans="1:11" ht="15">
      <c r="A19" s="171"/>
      <c r="B19" s="165"/>
      <c r="C19" s="169" t="s">
        <v>65</v>
      </c>
      <c r="D19" s="162" t="s">
        <v>70</v>
      </c>
      <c r="E19" s="163">
        <v>1799</v>
      </c>
      <c r="F19" s="117"/>
      <c r="G19" s="117"/>
      <c r="H19" s="117"/>
      <c r="I19" s="117"/>
      <c r="J19" s="117"/>
      <c r="K19" s="157">
        <f t="shared" si="0"/>
        <v>1799</v>
      </c>
    </row>
    <row r="20" spans="1:11" ht="15">
      <c r="A20" s="171"/>
      <c r="B20" s="165"/>
      <c r="C20" s="169" t="s">
        <v>71</v>
      </c>
      <c r="D20" s="162" t="s">
        <v>72</v>
      </c>
      <c r="E20" s="167">
        <f>1154-177+220</f>
        <v>1197</v>
      </c>
      <c r="F20" s="117"/>
      <c r="G20" s="117"/>
      <c r="H20" s="117"/>
      <c r="I20" s="117"/>
      <c r="J20" s="117"/>
      <c r="K20" s="157">
        <f t="shared" si="0"/>
        <v>1197</v>
      </c>
    </row>
    <row r="21" spans="1:11" ht="15">
      <c r="A21" s="171"/>
      <c r="B21" s="165"/>
      <c r="C21" s="169" t="s">
        <v>47</v>
      </c>
      <c r="D21" s="162" t="s">
        <v>11</v>
      </c>
      <c r="E21" s="163">
        <v>34</v>
      </c>
      <c r="F21" s="117"/>
      <c r="G21" s="117"/>
      <c r="H21" s="117"/>
      <c r="I21" s="117"/>
      <c r="J21" s="117"/>
      <c r="K21" s="157">
        <f t="shared" si="0"/>
        <v>34</v>
      </c>
    </row>
    <row r="22" spans="1:11" ht="15">
      <c r="A22" s="171"/>
      <c r="B22" s="165"/>
      <c r="C22" s="169" t="s">
        <v>71</v>
      </c>
      <c r="D22" s="162" t="s">
        <v>75</v>
      </c>
      <c r="E22" s="163">
        <v>40</v>
      </c>
      <c r="F22" s="117"/>
      <c r="G22" s="117"/>
      <c r="H22" s="117"/>
      <c r="I22" s="117"/>
      <c r="J22" s="117"/>
      <c r="K22" s="157">
        <f t="shared" si="0"/>
        <v>40</v>
      </c>
    </row>
    <row r="23" spans="1:11" ht="15">
      <c r="A23" s="171"/>
      <c r="B23" s="165"/>
      <c r="C23" s="169" t="s">
        <v>52</v>
      </c>
      <c r="D23" s="162" t="s">
        <v>76</v>
      </c>
      <c r="E23" s="163">
        <v>6456</v>
      </c>
      <c r="F23" s="117"/>
      <c r="G23" s="117"/>
      <c r="H23" s="117"/>
      <c r="I23" s="117"/>
      <c r="J23" s="117">
        <v>356</v>
      </c>
      <c r="K23" s="157">
        <f t="shared" si="0"/>
        <v>6812</v>
      </c>
    </row>
    <row r="24" spans="1:11" ht="15">
      <c r="A24" s="172"/>
      <c r="B24" s="161"/>
      <c r="C24" s="169" t="s">
        <v>52</v>
      </c>
      <c r="D24" s="162" t="s">
        <v>81</v>
      </c>
      <c r="E24" s="163">
        <v>3453</v>
      </c>
      <c r="F24" s="117"/>
      <c r="G24" s="117"/>
      <c r="H24" s="117"/>
      <c r="I24" s="117"/>
      <c r="J24" s="117"/>
      <c r="K24" s="157">
        <f t="shared" si="0"/>
        <v>3453</v>
      </c>
    </row>
    <row r="25" spans="1:11" ht="15">
      <c r="A25" s="172"/>
      <c r="B25" s="161"/>
      <c r="C25" s="169" t="s">
        <v>52</v>
      </c>
      <c r="D25" s="162" t="s">
        <v>82</v>
      </c>
      <c r="E25" s="163">
        <v>232</v>
      </c>
      <c r="F25" s="117"/>
      <c r="G25" s="117"/>
      <c r="H25" s="117"/>
      <c r="I25" s="117"/>
      <c r="J25" s="117"/>
      <c r="K25" s="157">
        <f t="shared" si="0"/>
        <v>232</v>
      </c>
    </row>
    <row r="26" spans="1:11" ht="15.75" thickBot="1">
      <c r="A26" s="173"/>
      <c r="B26" s="174"/>
      <c r="C26" s="169" t="s">
        <v>83</v>
      </c>
      <c r="D26" s="175" t="s">
        <v>85</v>
      </c>
      <c r="E26" s="176"/>
      <c r="F26" s="127"/>
      <c r="G26" s="127"/>
      <c r="H26" s="127">
        <v>100</v>
      </c>
      <c r="I26" s="127"/>
      <c r="J26" s="127"/>
      <c r="K26" s="157">
        <f t="shared" si="0"/>
        <v>100</v>
      </c>
    </row>
    <row r="27" spans="1:11" ht="15.75" thickBot="1">
      <c r="A27" s="177" t="s">
        <v>89</v>
      </c>
      <c r="B27" s="178">
        <f>SUM(B7:B26)</f>
        <v>74117</v>
      </c>
      <c r="C27" s="31"/>
      <c r="D27" s="32" t="s">
        <v>90</v>
      </c>
      <c r="E27" s="122">
        <f aca="true" t="shared" si="1" ref="E27:K27">SUM(E7:E26)</f>
        <v>28941</v>
      </c>
      <c r="F27" s="122">
        <f t="shared" si="1"/>
        <v>0</v>
      </c>
      <c r="G27" s="122">
        <f t="shared" si="1"/>
        <v>600</v>
      </c>
      <c r="H27" s="122">
        <f t="shared" si="1"/>
        <v>100</v>
      </c>
      <c r="I27" s="122">
        <f t="shared" si="1"/>
        <v>0</v>
      </c>
      <c r="J27" s="122">
        <f t="shared" si="1"/>
        <v>35894</v>
      </c>
      <c r="K27" s="179">
        <f t="shared" si="1"/>
        <v>65535</v>
      </c>
    </row>
    <row r="28" spans="1:11" ht="15.75">
      <c r="A28" s="35" t="s">
        <v>31</v>
      </c>
      <c r="B28" s="36"/>
      <c r="C28" s="37"/>
      <c r="D28" s="37"/>
      <c r="E28" s="37"/>
      <c r="F28" s="37" t="s">
        <v>32</v>
      </c>
      <c r="G28" s="37"/>
      <c r="H28" s="37"/>
      <c r="I28" s="37"/>
      <c r="J28" s="36"/>
      <c r="K28" s="38"/>
    </row>
    <row r="29" spans="1:9" ht="15">
      <c r="A29" s="4" t="s">
        <v>121</v>
      </c>
      <c r="F29" s="4" t="s">
        <v>122</v>
      </c>
      <c r="G29" s="4"/>
      <c r="H29" s="4"/>
      <c r="I29" s="4"/>
    </row>
    <row r="31" ht="15">
      <c r="B31" s="139"/>
    </row>
  </sheetData>
  <sheetProtection/>
  <mergeCells count="10">
    <mergeCell ref="C3:K3"/>
    <mergeCell ref="H4:K4"/>
    <mergeCell ref="K5:K6"/>
    <mergeCell ref="A3:B3"/>
    <mergeCell ref="A4:A5"/>
    <mergeCell ref="B4:B5"/>
    <mergeCell ref="E5:E6"/>
    <mergeCell ref="F5:F6"/>
    <mergeCell ref="H5:H6"/>
    <mergeCell ref="J5:J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Eternum</dc:creator>
  <cp:keywords/>
  <dc:description/>
  <cp:lastModifiedBy>USER</cp:lastModifiedBy>
  <cp:lastPrinted>2011-08-04T18:37:16Z</cp:lastPrinted>
  <dcterms:created xsi:type="dcterms:W3CDTF">2009-10-16T11:25:25Z</dcterms:created>
  <dcterms:modified xsi:type="dcterms:W3CDTF">2011-08-04T21:48:36Z</dcterms:modified>
  <cp:category/>
  <cp:version/>
  <cp:contentType/>
  <cp:contentStatus/>
</cp:coreProperties>
</file>